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GoogleDrive/My Drive/01 - Work/StartupCFO/Maler/Maler for Startup CFO-medlemmer/"/>
    </mc:Choice>
  </mc:AlternateContent>
  <bookViews>
    <workbookView xWindow="41780" yWindow="-5140" windowWidth="22220" windowHeight="21140" tabRatio="500"/>
  </bookViews>
  <sheets>
    <sheet name="Innstillinger" sheetId="7" r:id="rId1"/>
    <sheet name="Data" sheetId="8" r:id="rId2"/>
    <sheet name="Kun lønn" sheetId="1" r:id="rId3"/>
    <sheet name="Kun utbytte" sheetId="2" r:id="rId4"/>
    <sheet name="Lønn 6 G og utbytte" sheetId="4" r:id="rId5"/>
    <sheet name="Lønn 7,1 G og utbytte" sheetId="5" r:id="rId6"/>
    <sheet name="Oppsummering" sheetId="6" r:id="rId7"/>
  </sheets>
  <definedNames>
    <definedName name="AGA_kun_lønn">'Kun lønn'!$E$8</definedName>
    <definedName name="AGA_lønn6G">'Lønn 6 G og utbytte'!$E$8</definedName>
    <definedName name="AGA_lønn7G">'Lønn 7,1 G og utbytte'!$E$8</definedName>
    <definedName name="Alm_innt_kun_lønn">'Kun lønn'!$G$17</definedName>
    <definedName name="Alm_innt_lønn6G">'Lønn 6 G og utbytte'!$G$23</definedName>
    <definedName name="Alm_innt_lønn7G">'Lønn 7,1 G og utbytte'!$G$23</definedName>
    <definedName name="Arbg.avgsats">Innstillinger!$E$7</definedName>
    <definedName name="Feriepengesats">Innstillinger!$E$8</definedName>
    <definedName name="FP_kun_lønn">'Kun lønn'!$E$7</definedName>
    <definedName name="FP_lønn6G">'Lønn 6 G og utbytte'!$E$7</definedName>
    <definedName name="FP_lønn7G">'Lønn 7,1 G og utbytte'!$E$7</definedName>
    <definedName name="Grlag_kun_lønn">'Kun lønn'!$E$14</definedName>
    <definedName name="Grlag_lønn6G">'Lønn 6 G og utbytte'!$E$20</definedName>
    <definedName name="Grlag_lønn7G">'Lønn 7,1 G og utbytte'!$E$20</definedName>
    <definedName name="Grlag_skatt_alm_innt_kun_lønn">'Kun lønn'!$E$19</definedName>
    <definedName name="Grlag_skatt_alm_innt_lønn6G">'Lønn 6 G og utbytte'!$E$25</definedName>
    <definedName name="Grlag_skatt_alm_innt_lønn7G">'Lønn 7,1 G og utbytte'!$E$25</definedName>
    <definedName name="Grlag_trygdeavg_kun_lønn">'Kun lønn'!$E$20</definedName>
    <definedName name="Grlag_trygdeavg_lønn6G">'Lønn 6 G og utbytte'!$E$26</definedName>
    <definedName name="Grlag_trygdeavg_lønn7G">'Lønn 7,1 G og utbytte'!$E$26</definedName>
    <definedName name="Grunnbeløp">Innstillinger!$E$5</definedName>
    <definedName name="Kun_lønn">'Kun lønn'!$E$6</definedName>
    <definedName name="Lønn6G">'Lønn 6 G og utbytte'!$E$6</definedName>
    <definedName name="Lønn7G">'Lønn 7,1 G og utbytte'!$E$6</definedName>
    <definedName name="Minstefradrag">Innstillinger!$E$19</definedName>
    <definedName name="Minstefradrag_kun_lønn">'Kun lønn'!$G$15</definedName>
    <definedName name="Minstefradrag_lønn6G">'Lønn 6 G og utbytte'!$G$21</definedName>
    <definedName name="Minstefradrag_lønn7G">'Lønn 7,1 G og utbytte'!$G$21</definedName>
    <definedName name="Net_lønn6G">'Lønn 6 G og utbytte'!$G$34</definedName>
    <definedName name="Net_lønn7G">'Lønn 7,1 G og utbytte'!$G$34</definedName>
    <definedName name="Net_utbytte_lønn6G">'Lønn 6 G og utbytte'!$E$16</definedName>
    <definedName name="Net_utbytte_lønn7G">'Lønn 7,1 G og utbytte'!$E$16</definedName>
    <definedName name="Ngrense_trinn_1">Innstillinger!$F$12</definedName>
    <definedName name="Ngrense_trinn_2">Innstillinger!$F$13</definedName>
    <definedName name="Ngrense_trinn_3">Innstillinger!$F$14</definedName>
    <definedName name="Ngrense_trinn_4">Innstillinger!$F$15</definedName>
    <definedName name="Ngrense_trinn1">Data!#REF!</definedName>
    <definedName name="Ngrense_trinn4">Data!#REF!</definedName>
    <definedName name="Oppjusteringsfaktor">Innstillinger!$E$9</definedName>
    <definedName name="Personfradrag">Innstillinger!$E$20</definedName>
    <definedName name="Personfradrag_kun_lønn">'Kun lønn'!$G$16</definedName>
    <definedName name="Personfradrag_lønn6G">'Lønn 6 G og utbytte'!$G$22</definedName>
    <definedName name="Personfradrag_lønn7G">'Lønn 7,1 G og utbytte'!$G$22</definedName>
    <definedName name="Res_f_kun_lønn">'Kun lønn'!$E$5</definedName>
    <definedName name="Res_f_lønn6G">'Lønn 6 G og utbytte'!$E$5</definedName>
    <definedName name="Res_f_lønn7G">'Lønn 7,1 G og utbytte'!$E$5</definedName>
    <definedName name="Res_f_skatt_kun_lønn">'Kun lønn'!$E$9</definedName>
    <definedName name="Res_f_skatt_kun_utbytte">'Kun utbytte'!$E$5</definedName>
    <definedName name="Res_f_skatt_lønn6G">'Lønn 6 G og utbytte'!$E$9</definedName>
    <definedName name="Res_f_skatt_lønn7G">'Lønn 7,1 G og utbytte'!$E$9</definedName>
    <definedName name="Resultat_før_lønnskostnader__skatt_og_utbytte">Innstillinger!$E$4</definedName>
    <definedName name="Skatt_alm_innt_kun_lønn">'Kun lønn'!$G$19</definedName>
    <definedName name="Skatt_alm_innt_lønn6G">'Lønn 6 G og utbytte'!$G$25</definedName>
    <definedName name="Skatt_alm_innt_lønn7G">'Lønn 7,1 G og utbytte'!$G$25</definedName>
    <definedName name="Skatt_kun_lønn">'Kun lønn'!$E$10</definedName>
    <definedName name="Skatt_lønn6G">'Lønn 6 G og utbytte'!$E$10</definedName>
    <definedName name="Skatt_lønn7G">'Lønn 7,1 G og utbytte'!$E$10</definedName>
    <definedName name="Skatt_overskudd_kun_utbytte">'Kun utbytte'!$E$6</definedName>
    <definedName name="Skatt_utbytte_kun_utbytte">'Kun utbytte'!$E$11</definedName>
    <definedName name="Skatt_utbytte_lønn6G">'Lønn 6 G og utbytte'!$E$15</definedName>
    <definedName name="Skatt_utbytte_lønn7G">'Lønn 7,1 G og utbytte'!$E$15</definedName>
    <definedName name="Skattesats">Innstillinger!$E$6</definedName>
    <definedName name="Skattesats_alm_innt_kun_lønn">'Kun lønn'!$F$19</definedName>
    <definedName name="Skattesats_alm_innt_lønn6G">'Lønn 6 G og utbytte'!$F$25</definedName>
    <definedName name="Skattesats_alm_innt_lønn7G">'Lønn 7,1 G og utbytte'!$F$25</definedName>
    <definedName name="Sum_skatt_kun_lønn">'Kun lønn'!$G$25</definedName>
    <definedName name="Sum_skatt_lønn6G">'Lønn 6 G og utbytte'!$G$31</definedName>
    <definedName name="Sum_skatt_lønn7G">'Lønn 7,1 G og utbytte'!$G$31</definedName>
    <definedName name="Trinn_1">Innstillinger!$E$12</definedName>
    <definedName name="Trinn_1_kun_lønn">'Kun lønn'!$E$21</definedName>
    <definedName name="Trinn_1_lønn6G">'Lønn 6 G og utbytte'!$E$27</definedName>
    <definedName name="Trinn_1_lønn7G">'Lønn 7,1 G og utbytte'!$E$27</definedName>
    <definedName name="Trinn_1_sats_kun_lønn">'Kun lønn'!$F$21</definedName>
    <definedName name="Trinn_1_sats_lønn6G">'Lønn 6 G og utbytte'!$F$27</definedName>
    <definedName name="Trinn_1_sats_lønn7G">'Lønn 7,1 G og utbytte'!$F$27</definedName>
    <definedName name="Trinn_1_skatt_kun_lønn">'Kun lønn'!$G$21</definedName>
    <definedName name="Trinn_1_skatt_lønn6G">'Lønn 6 G og utbytte'!$G$27</definedName>
    <definedName name="Trinn_1_skatt_lønn7G">'Lønn 7,1 G og utbytte'!$G$27</definedName>
    <definedName name="Trinn_2">Innstillinger!$E$13</definedName>
    <definedName name="Trinn_2_kun_lønn">'Kun lønn'!$E$22</definedName>
    <definedName name="Trinn_2_lønn6G">'Lønn 6 G og utbytte'!$E$28</definedName>
    <definedName name="Trinn_2_lønn7G">'Lønn 7,1 G og utbytte'!$E$28</definedName>
    <definedName name="Trinn_2_sats_kun_lønn">'Kun lønn'!$F$22</definedName>
    <definedName name="Trinn_2_sats_lønn6G">'Lønn 6 G og utbytte'!$F$28</definedName>
    <definedName name="Trinn_2_sats_lønn7G">'Lønn 7,1 G og utbytte'!$F$28</definedName>
    <definedName name="Trinn_2_skatt_kun_lønn">'Kun lønn'!$G$22</definedName>
    <definedName name="Trinn_2_skatt_lønn6G">'Lønn 6 G og utbytte'!$G$28</definedName>
    <definedName name="Trinn_2_skatt_lønn7G">'Lønn 7,1 G og utbytte'!$G$28</definedName>
    <definedName name="Trinn_3">Innstillinger!$E$14</definedName>
    <definedName name="Trinn_3_kun_lønn">'Kun lønn'!$E$23</definedName>
    <definedName name="Trinn_3_lønn6G">'Lønn 6 G og utbytte'!$E$29</definedName>
    <definedName name="Trinn_3_lønn7G">'Lønn 7,1 G og utbytte'!$E$29</definedName>
    <definedName name="Trinn_3_sats_kun_lønn">'Kun lønn'!$F$23</definedName>
    <definedName name="Trinn_3_sats_lønn6G">'Lønn 6 G og utbytte'!$F$29</definedName>
    <definedName name="Trinn_3_sats_lønn7G">'Lønn 7,1 G og utbytte'!$F$29</definedName>
    <definedName name="Trinn_3_skatt_kun_lønn">'Kun lønn'!$G$23</definedName>
    <definedName name="Trinn_3_skatt_lønn6G">'Lønn 6 G og utbytte'!$G$29</definedName>
    <definedName name="Trinn_3_skatt_lønn7G">'Lønn 7,1 G og utbytte'!$G$29</definedName>
    <definedName name="Trinn_4">Innstillinger!$E$15</definedName>
    <definedName name="Trinn_4_kun_lønn">'Kun lønn'!$E$24</definedName>
    <definedName name="Trinn_4_lønn6G">'Lønn 6 G og utbytte'!$E$30</definedName>
    <definedName name="Trinn_4_lønn7G">'Lønn 7,1 G og utbytte'!$E$30</definedName>
    <definedName name="Trinn_4_sats_kun_lønn">'Kun lønn'!$F$24</definedName>
    <definedName name="Trinn_4_sats_lønn6G">'Lønn 6 G og utbytte'!$F$30</definedName>
    <definedName name="Trinn_4_sats_lønn7G">'Lønn 7,1 G og utbytte'!$F$30</definedName>
    <definedName name="Trinn_4_skatt_kun_lønn">'Kun lønn'!$G$24</definedName>
    <definedName name="Trinn_4_skatt_lønn6G">'Lønn 6 G og utbytte'!$G$30</definedName>
    <definedName name="Trinn_4_skatt_lønn7G">'Lønn 7,1 G og utbytte'!$G$30</definedName>
    <definedName name="Trygdeavg">Innstillinger!$E$16</definedName>
    <definedName name="Trygdeavg_kun_lønn">'Kun lønn'!$G$20</definedName>
    <definedName name="Trygdeavg_lønn6G">'Lønn 6 G og utbytte'!$G$26</definedName>
    <definedName name="Trygdeavg_lønn7G">'Lønn 7,1 G og utbytte'!$G$26</definedName>
    <definedName name="Trygdeavgsats_kun_lønn">'Kun lønn'!$F$20</definedName>
    <definedName name="Trygdeavgsats_lønn6G">'Lønn 6 G og utbytte'!$F$26</definedName>
    <definedName name="Trygdeavgsats_lønn7G">'Lønn 7,1 G og utbytte'!$F$26</definedName>
    <definedName name="Utbetalt_kun_lønn">'Kun lønn'!$G$27</definedName>
    <definedName name="Utbetalt_kun_utbytte">'Kun utbytte'!$E$12</definedName>
    <definedName name="Utbetalt_lønn6G">'Lønn 6 G og utbytte'!$G$35</definedName>
    <definedName name="Utbetalt_lønn7G">'Lønn 7,1 G og utbytte'!$G$35</definedName>
    <definedName name="Utbytte_kun_utbytte">'Kun utbytte'!$E$10</definedName>
    <definedName name="Utbytte_lønn6G">'Lønn 6 G og utbytte'!$E$14</definedName>
    <definedName name="Utbytte_lønn7G">'Lønn 7,1 G og utbytte'!$E$14</definedName>
    <definedName name="Øgrense_trinn_1">Innstillinger!$G$12</definedName>
    <definedName name="Øgrense_trinn_2">Innstillinger!$G$13</definedName>
    <definedName name="Øgrense_trinn_3">Innstillinger!$G$14</definedName>
    <definedName name="Årsres_kun_lønn">'Kun lønn'!$E$11</definedName>
    <definedName name="Årsres_kun_utbytte">'Kun utbytte'!$E$7</definedName>
    <definedName name="Årsres_lønn6G">'Lønn 6 G og utbytte'!$E$11</definedName>
    <definedName name="Årsres_lønn7G">'Lønn 7,1 G og utbytte'!$E$11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6" i="2"/>
  <c r="E7" i="2"/>
  <c r="E10" i="2"/>
  <c r="E11" i="2"/>
  <c r="H6" i="6"/>
  <c r="I6" i="6"/>
  <c r="E6" i="4"/>
  <c r="E7" i="4"/>
  <c r="E8" i="4"/>
  <c r="E5" i="4"/>
  <c r="E9" i="4"/>
  <c r="E10" i="4"/>
  <c r="E11" i="4"/>
  <c r="E14" i="4"/>
  <c r="E15" i="4"/>
  <c r="E20" i="4"/>
  <c r="G21" i="4"/>
  <c r="G22" i="4"/>
  <c r="G23" i="4"/>
  <c r="E25" i="4"/>
  <c r="F25" i="4"/>
  <c r="G25" i="4"/>
  <c r="E26" i="4"/>
  <c r="F26" i="4"/>
  <c r="G26" i="4"/>
  <c r="E27" i="4"/>
  <c r="F27" i="4"/>
  <c r="G27" i="4"/>
  <c r="E28" i="4"/>
  <c r="F28" i="4"/>
  <c r="G28" i="4"/>
  <c r="H7" i="6"/>
  <c r="I7" i="6"/>
  <c r="E6" i="5"/>
  <c r="E7" i="5"/>
  <c r="E8" i="5"/>
  <c r="E5" i="5"/>
  <c r="E9" i="5"/>
  <c r="E10" i="5"/>
  <c r="E11" i="5"/>
  <c r="E14" i="5"/>
  <c r="E15" i="5"/>
  <c r="E20" i="5"/>
  <c r="G21" i="5"/>
  <c r="G22" i="5"/>
  <c r="G23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H8" i="6"/>
  <c r="I8" i="6"/>
  <c r="E7" i="1"/>
  <c r="E8" i="1"/>
  <c r="E5" i="1"/>
  <c r="E9" i="1"/>
  <c r="E10" i="1"/>
  <c r="E14" i="1"/>
  <c r="G15" i="1"/>
  <c r="G16" i="1"/>
  <c r="G17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G25" i="1"/>
  <c r="H5" i="6"/>
  <c r="I5" i="6"/>
  <c r="F30" i="5"/>
  <c r="E30" i="5"/>
  <c r="F30" i="4"/>
  <c r="F29" i="4"/>
  <c r="E30" i="4"/>
  <c r="E29" i="4"/>
  <c r="G30" i="5"/>
  <c r="G31" i="5"/>
  <c r="G34" i="5"/>
  <c r="E16" i="5"/>
  <c r="G33" i="5"/>
  <c r="D5" i="5"/>
  <c r="G29" i="4"/>
  <c r="G30" i="4"/>
  <c r="G31" i="4"/>
  <c r="G34" i="4"/>
  <c r="E16" i="4"/>
  <c r="G33" i="4"/>
  <c r="D5" i="4"/>
  <c r="E12" i="2"/>
  <c r="D5" i="2"/>
  <c r="G27" i="1"/>
  <c r="E11" i="1"/>
  <c r="D5" i="1"/>
  <c r="G35" i="5"/>
  <c r="G8" i="6"/>
  <c r="F8" i="6"/>
  <c r="E8" i="6"/>
  <c r="G35" i="4"/>
  <c r="G7" i="6"/>
  <c r="F7" i="6"/>
  <c r="E7" i="6"/>
  <c r="G6" i="6"/>
  <c r="F6" i="6"/>
  <c r="G5" i="6"/>
  <c r="E5" i="6"/>
</calcChain>
</file>

<file path=xl/comments1.xml><?xml version="1.0" encoding="utf-8"?>
<comments xmlns="http://schemas.openxmlformats.org/spreadsheetml/2006/main">
  <authors>
    <author>Microsoft Office User</author>
  </authors>
  <commentList>
    <comment ref="E4" authorId="0">
      <text>
        <r>
          <rPr>
            <b/>
            <sz val="10"/>
            <color indexed="81"/>
            <rFont val="Calibri"/>
          </rPr>
          <t>Legg inn resultat før lønnskostnader (lønn, feriepenger, arbeidsgiveravgift og arbeidsgiveravgift av feriepenger), skatt og utbytte er trukket fra.</t>
        </r>
      </text>
    </comment>
    <comment ref="E7" authorId="0">
      <text>
        <r>
          <rPr>
            <b/>
            <sz val="10"/>
            <color indexed="81"/>
            <rFont val="Calibri"/>
          </rPr>
          <t>Velg sats for arbeidsgiveravgiftfra nedtrekkmenyen</t>
        </r>
      </text>
    </comment>
    <comment ref="E8" authorId="0">
      <text>
        <r>
          <rPr>
            <b/>
            <sz val="10"/>
            <color indexed="81"/>
            <rFont val="Calibri"/>
          </rPr>
          <t>Velg sats for feriepenger fra nedtrekksmenyen.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E6" authorId="0">
      <text>
        <r>
          <rPr>
            <b/>
            <sz val="10"/>
            <color indexed="81"/>
            <rFont val="Calibri"/>
          </rPr>
          <t>Bruk funksjonen "Målsøk" / "Goal seek" som finnes i menyen "Data". Velg "Hva-hvis-analyse" / "What-if-analysis" for å finne hva som maksimalt kan betales ut som bruttolønn basert på resultatet før lønnskostnader. 
I "Målsøk" / "Goal seek" funksjonen settes celle for "Resultat før skatt" lik 0 (eller annen verdi som ønskes) ved å endre cellen for "Lønn".</t>
        </r>
      </text>
    </comment>
    <comment ref="E7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8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E7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8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comments4.xml><?xml version="1.0" encoding="utf-8"?>
<comments xmlns="http://schemas.openxmlformats.org/spreadsheetml/2006/main">
  <authors>
    <author>Microsoft Office User</author>
  </authors>
  <commentList>
    <comment ref="E7" authorId="0">
      <text>
        <r>
          <rPr>
            <b/>
            <sz val="10"/>
            <color indexed="81"/>
            <rFont val="Calibri"/>
          </rPr>
          <t>Velg en sats for feriepenger under "Innstillinger" på første side</t>
        </r>
      </text>
    </comment>
    <comment ref="E8" authorId="0">
      <text>
        <r>
          <rPr>
            <b/>
            <sz val="10"/>
            <color indexed="81"/>
            <rFont val="Calibri"/>
          </rPr>
          <t>Velg en sats for arbeidsgiveravgift under "Innstillinger" på første side</t>
        </r>
      </text>
    </comment>
  </commentList>
</comments>
</file>

<file path=xl/sharedStrings.xml><?xml version="1.0" encoding="utf-8"?>
<sst xmlns="http://schemas.openxmlformats.org/spreadsheetml/2006/main" count="181" uniqueCount="60">
  <si>
    <t>Kun lønn</t>
  </si>
  <si>
    <t>Lønn</t>
  </si>
  <si>
    <t>Arbeidsgiveravgift</t>
  </si>
  <si>
    <t>Beregnede feriepenger</t>
  </si>
  <si>
    <t>Resultat før skatt</t>
  </si>
  <si>
    <t>Årsresultat etter skatt</t>
  </si>
  <si>
    <t>Beløp</t>
  </si>
  <si>
    <t>Sats</t>
  </si>
  <si>
    <t>Maksimalt minstefradrag</t>
  </si>
  <si>
    <t>Alminnelig inntekt</t>
  </si>
  <si>
    <t>Trygdeavgift</t>
  </si>
  <si>
    <t>Grunnlag</t>
  </si>
  <si>
    <t>Trinnskatt, trinn 1</t>
  </si>
  <si>
    <t>Trinnskatt, trinn 2</t>
  </si>
  <si>
    <t>Trinnskatt, trinn 3</t>
  </si>
  <si>
    <t>Trinnskatt, trinn 4</t>
  </si>
  <si>
    <t>Skatt på alminnelig inntekt</t>
  </si>
  <si>
    <t>Du sitter igjen med</t>
  </si>
  <si>
    <t>Kun utbytte</t>
  </si>
  <si>
    <t>Utbytte</t>
  </si>
  <si>
    <t>Lønn og utbytte</t>
  </si>
  <si>
    <t>Netto utbytte</t>
  </si>
  <si>
    <t>Netto lønn</t>
  </si>
  <si>
    <t>Lønn 7,1 G</t>
  </si>
  <si>
    <t>Lønn 6 G</t>
  </si>
  <si>
    <t>-</t>
  </si>
  <si>
    <t>=</t>
  </si>
  <si>
    <t>+</t>
  </si>
  <si>
    <t>Utbetalt</t>
  </si>
  <si>
    <t>Lønn 6 G og utbytte</t>
  </si>
  <si>
    <t>Lønn 7,1 G og utbytte</t>
  </si>
  <si>
    <t>G</t>
  </si>
  <si>
    <t>Sats for arbeidsgiveravgift</t>
  </si>
  <si>
    <t>Sats for feriepenger</t>
  </si>
  <si>
    <t>Samlede skatter/avgifter selskap og aksjonær</t>
  </si>
  <si>
    <t>Sum skatt/avgifter lønn</t>
  </si>
  <si>
    <t>Uttakssammensetning</t>
  </si>
  <si>
    <t>Trinn 1</t>
  </si>
  <si>
    <t>Trinn 2</t>
  </si>
  <si>
    <t>Trinn 3</t>
  </si>
  <si>
    <t>Trinn 4</t>
  </si>
  <si>
    <t>Skattesats</t>
  </si>
  <si>
    <t>Personfradrag</t>
  </si>
  <si>
    <t>Minstefradrag</t>
  </si>
  <si>
    <t>Oppjusteringsfaktor for utbytte</t>
  </si>
  <si>
    <t>Skatt</t>
  </si>
  <si>
    <t>Feriepenger</t>
  </si>
  <si>
    <t>Skatt på overskudd</t>
  </si>
  <si>
    <t>Skatt på utbytte</t>
  </si>
  <si>
    <t>Innstillinger</t>
  </si>
  <si>
    <t>Resultat før lønnskostnader, skatt og utbytte</t>
  </si>
  <si>
    <t>Nedre grense</t>
  </si>
  <si>
    <t>Øvre grense</t>
  </si>
  <si>
    <t xml:space="preserve">Minstefradrag </t>
  </si>
  <si>
    <t>Minstefradrag %</t>
  </si>
  <si>
    <t>Skatteberegning, aksjonær</t>
  </si>
  <si>
    <t>Skatteberegning, selskap</t>
  </si>
  <si>
    <t>Samlede skatter/avgifter selskap og aksjonær (%)</t>
  </si>
  <si>
    <t>Satser for trinnskatt/avgifter 2019</t>
  </si>
  <si>
    <t>Fradrag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</si>
</sst>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Book"/>
    </font>
    <font>
      <b/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2" tint="-0.499984740745262"/>
      <name val="Avenir Book"/>
    </font>
    <font>
      <b/>
      <sz val="10"/>
      <color indexed="81"/>
      <name val="Calibri"/>
    </font>
    <font>
      <sz val="8"/>
      <name val="Calibri"/>
      <family val="2"/>
      <scheme val="minor"/>
    </font>
    <font>
      <b/>
      <sz val="12"/>
      <color theme="0"/>
      <name val="Avenir Book"/>
    </font>
    <font>
      <sz val="12"/>
      <color theme="0"/>
      <name val="Avenir Book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3" fontId="2" fillId="0" borderId="0" xfId="1" applyFont="1"/>
    <xf numFmtId="164" fontId="2" fillId="0" borderId="0" xfId="1" applyNumberFormat="1" applyFont="1"/>
    <xf numFmtId="164" fontId="2" fillId="0" borderId="0" xfId="0" applyNumberFormat="1" applyFont="1"/>
    <xf numFmtId="10" fontId="2" fillId="0" borderId="0" xfId="2" applyNumberFormat="1" applyFont="1"/>
    <xf numFmtId="10" fontId="2" fillId="0" borderId="0" xfId="0" applyNumberFormat="1" applyFont="1"/>
    <xf numFmtId="43" fontId="2" fillId="0" borderId="0" xfId="0" applyNumberFormat="1" applyFont="1"/>
    <xf numFmtId="165" fontId="2" fillId="0" borderId="0" xfId="2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2" fillId="0" borderId="1" xfId="1" applyNumberFormat="1" applyFont="1" applyBorder="1"/>
    <xf numFmtId="43" fontId="2" fillId="0" borderId="1" xfId="1" applyFont="1" applyBorder="1"/>
    <xf numFmtId="10" fontId="2" fillId="0" borderId="1" xfId="2" applyNumberFormat="1" applyFont="1" applyBorder="1"/>
    <xf numFmtId="0" fontId="3" fillId="0" borderId="0" xfId="0" applyFont="1"/>
    <xf numFmtId="0" fontId="2" fillId="0" borderId="0" xfId="0" quotePrefix="1" applyFont="1" applyAlignment="1">
      <alignment horizontal="right"/>
    </xf>
    <xf numFmtId="0" fontId="2" fillId="0" borderId="1" xfId="0" quotePrefix="1" applyFont="1" applyBorder="1" applyAlignment="1">
      <alignment horizontal="right"/>
    </xf>
    <xf numFmtId="10" fontId="0" fillId="0" borderId="0" xfId="2" applyNumberFormat="1" applyFont="1"/>
    <xf numFmtId="164" fontId="0" fillId="0" borderId="0" xfId="1" applyNumberFormat="1" applyFont="1"/>
    <xf numFmtId="164" fontId="2" fillId="0" borderId="0" xfId="1" applyNumberFormat="1" applyFont="1" applyBorder="1"/>
    <xf numFmtId="10" fontId="2" fillId="0" borderId="0" xfId="2" applyNumberFormat="1" applyFont="1" applyBorder="1"/>
    <xf numFmtId="0" fontId="2" fillId="0" borderId="2" xfId="0" applyFont="1" applyBorder="1"/>
    <xf numFmtId="0" fontId="2" fillId="0" borderId="2" xfId="0" quotePrefix="1" applyFont="1" applyBorder="1" applyAlignment="1">
      <alignment horizontal="right"/>
    </xf>
    <xf numFmtId="164" fontId="2" fillId="0" borderId="2" xfId="1" applyNumberFormat="1" applyFont="1" applyBorder="1"/>
    <xf numFmtId="10" fontId="2" fillId="0" borderId="2" xfId="2" applyNumberFormat="1" applyFont="1" applyBorder="1"/>
    <xf numFmtId="0" fontId="2" fillId="0" borderId="0" xfId="0" applyFont="1" applyBorder="1"/>
    <xf numFmtId="0" fontId="6" fillId="0" borderId="0" xfId="0" applyFont="1" applyBorder="1"/>
    <xf numFmtId="164" fontId="2" fillId="0" borderId="0" xfId="1" applyNumberFormat="1" applyFont="1" applyBorder="1" applyAlignment="1">
      <alignment horizontal="right"/>
    </xf>
    <xf numFmtId="0" fontId="3" fillId="0" borderId="1" xfId="0" applyFont="1" applyBorder="1"/>
    <xf numFmtId="0" fontId="6" fillId="0" borderId="2" xfId="0" applyFont="1" applyBorder="1"/>
    <xf numFmtId="165" fontId="0" fillId="0" borderId="0" xfId="2" applyNumberFormat="1" applyFont="1"/>
    <xf numFmtId="0" fontId="2" fillId="0" borderId="0" xfId="0" applyFont="1" applyAlignment="1"/>
    <xf numFmtId="0" fontId="3" fillId="0" borderId="3" xfId="0" applyFont="1" applyBorder="1" applyAlignment="1">
      <alignment vertical="top"/>
    </xf>
    <xf numFmtId="164" fontId="3" fillId="0" borderId="3" xfId="1" applyNumberFormat="1" applyFont="1" applyBorder="1" applyAlignment="1">
      <alignment vertical="top"/>
    </xf>
    <xf numFmtId="165" fontId="3" fillId="0" borderId="3" xfId="2" applyNumberFormat="1" applyFont="1" applyBorder="1" applyAlignment="1">
      <alignment vertical="top"/>
    </xf>
    <xf numFmtId="0" fontId="2" fillId="0" borderId="0" xfId="0" quotePrefix="1" applyFont="1" applyBorder="1" applyAlignment="1">
      <alignment horizontal="right"/>
    </xf>
    <xf numFmtId="0" fontId="2" fillId="0" borderId="3" xfId="0" quotePrefix="1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43" fontId="2" fillId="0" borderId="0" xfId="1" applyFont="1" applyBorder="1"/>
    <xf numFmtId="43" fontId="3" fillId="0" borderId="3" xfId="1" applyFont="1" applyBorder="1" applyAlignment="1">
      <alignment vertical="top"/>
    </xf>
    <xf numFmtId="164" fontId="2" fillId="0" borderId="1" xfId="1" applyNumberFormat="1" applyFont="1" applyBorder="1" applyAlignment="1">
      <alignment horizontal="right"/>
    </xf>
    <xf numFmtId="9" fontId="0" fillId="0" borderId="0" xfId="2" applyFont="1"/>
    <xf numFmtId="165" fontId="2" fillId="0" borderId="0" xfId="2" applyNumberFormat="1" applyFont="1" applyFill="1"/>
    <xf numFmtId="43" fontId="2" fillId="0" borderId="1" xfId="1" applyNumberFormat="1" applyFont="1" applyFill="1" applyBorder="1"/>
    <xf numFmtId="164" fontId="2" fillId="0" borderId="0" xfId="1" applyNumberFormat="1" applyFont="1" applyFill="1"/>
    <xf numFmtId="10" fontId="2" fillId="0" borderId="0" xfId="2" applyNumberFormat="1" applyFont="1" applyFill="1"/>
    <xf numFmtId="10" fontId="2" fillId="0" borderId="1" xfId="2" applyNumberFormat="1" applyFont="1" applyFill="1" applyBorder="1"/>
    <xf numFmtId="164" fontId="2" fillId="0" borderId="1" xfId="1" applyNumberFormat="1" applyFont="1" applyFill="1" applyBorder="1"/>
    <xf numFmtId="164" fontId="2" fillId="2" borderId="0" xfId="1" applyNumberFormat="1" applyFont="1" applyFill="1"/>
    <xf numFmtId="165" fontId="2" fillId="2" borderId="0" xfId="2" applyNumberFormat="1" applyFont="1" applyFill="1" applyAlignment="1">
      <alignment horizontal="right"/>
    </xf>
    <xf numFmtId="0" fontId="2" fillId="0" borderId="5" xfId="0" applyFont="1" applyBorder="1" applyAlignment="1">
      <alignment horizontal="right"/>
    </xf>
    <xf numFmtId="164" fontId="2" fillId="2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9" fillId="3" borderId="5" xfId="0" applyFont="1" applyFill="1" applyBorder="1"/>
    <xf numFmtId="0" fontId="10" fillId="3" borderId="5" xfId="0" applyFont="1" applyFill="1" applyBorder="1"/>
    <xf numFmtId="0" fontId="9" fillId="3" borderId="4" xfId="0" applyFont="1" applyFill="1" applyBorder="1"/>
    <xf numFmtId="0" fontId="10" fillId="3" borderId="4" xfId="0" applyFont="1" applyFill="1" applyBorder="1"/>
    <xf numFmtId="0" fontId="10" fillId="3" borderId="0" xfId="0" applyFont="1" applyFill="1" applyBorder="1" applyAlignment="1">
      <alignment horizontal="right"/>
    </xf>
    <xf numFmtId="0" fontId="9" fillId="3" borderId="0" xfId="0" applyFont="1" applyFill="1" applyBorder="1"/>
    <xf numFmtId="43" fontId="10" fillId="3" borderId="0" xfId="1" applyFont="1" applyFill="1" applyBorder="1"/>
    <xf numFmtId="0" fontId="10" fillId="3" borderId="0" xfId="0" applyFont="1" applyFill="1" applyBorder="1"/>
    <xf numFmtId="43" fontId="9" fillId="3" borderId="0" xfId="1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0" fillId="3" borderId="0" xfId="0" applyFont="1" applyFill="1"/>
    <xf numFmtId="164" fontId="10" fillId="3" borderId="0" xfId="1" applyNumberFormat="1" applyFont="1" applyFill="1"/>
    <xf numFmtId="0" fontId="9" fillId="3" borderId="0" xfId="0" applyFont="1" applyFill="1" applyBorder="1" applyAlignment="1">
      <alignment horizontal="right" wrapText="1"/>
    </xf>
  </cellXfs>
  <cellStyles count="5">
    <cellStyle name="Comma" xfId="1" builtinId="3"/>
    <cellStyle name="Followed Hyperlink" xfId="4" builtinId="9" hidden="1"/>
    <cellStyle name="Hyperlink" xfId="3" builtinId="8" hidden="1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r>
              <a:rPr lang="en-US"/>
              <a:t>Utbetalt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Oppsummering!$D$5:$D$8</c:f>
              <c:strCache>
                <c:ptCount val="4"/>
                <c:pt idx="0">
                  <c:v>Kun lønn</c:v>
                </c:pt>
                <c:pt idx="1">
                  <c:v>Kun utbytte</c:v>
                </c:pt>
                <c:pt idx="2">
                  <c:v>Lønn 6 G og utbytte</c:v>
                </c:pt>
                <c:pt idx="3">
                  <c:v>Lønn 7,1 G og utbytte</c:v>
                </c:pt>
              </c:strCache>
            </c:strRef>
          </c:cat>
          <c:val>
            <c:numRef>
              <c:f>Oppsummering!$G$5:$G$8</c:f>
              <c:numCache>
                <c:formatCode>_-* #,##0_-;\-* #,##0_-;_-* "-"??_-;_-@_-</c:formatCode>
                <c:ptCount val="4"/>
                <c:pt idx="0">
                  <c:v>542064.674239389</c:v>
                </c:pt>
                <c:pt idx="1">
                  <c:v>532896.0</c:v>
                </c:pt>
                <c:pt idx="2">
                  <c:v>561946.8973380966</c:v>
                </c:pt>
                <c:pt idx="3">
                  <c:v>552949.542350081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103175712"/>
        <c:axId val="-2101474320"/>
      </c:barChart>
      <c:catAx>
        <c:axId val="-21031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-2101474320"/>
        <c:crosses val="autoZero"/>
        <c:auto val="1"/>
        <c:lblAlgn val="ctr"/>
        <c:lblOffset val="100"/>
        <c:noMultiLvlLbl val="0"/>
      </c:catAx>
      <c:valAx>
        <c:axId val="-21014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-21031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venir Book" charset="0"/>
          <a:ea typeface="Avenir Book" charset="0"/>
          <a:cs typeface="Avenir Book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r>
              <a:rPr lang="en-US"/>
              <a:t>Samlede skatter/avgifter selskap og aksjonær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Oppsummering!$D$5:$D$8</c:f>
              <c:strCache>
                <c:ptCount val="4"/>
                <c:pt idx="0">
                  <c:v>Kun lønn</c:v>
                </c:pt>
                <c:pt idx="1">
                  <c:v>Kun utbytte</c:v>
                </c:pt>
                <c:pt idx="2">
                  <c:v>Lønn 6 G og utbytte</c:v>
                </c:pt>
                <c:pt idx="3">
                  <c:v>Lønn 7,1 G og utbytte</c:v>
                </c:pt>
              </c:strCache>
            </c:strRef>
          </c:cat>
          <c:val>
            <c:numRef>
              <c:f>Oppsummering!$H$5:$H$8</c:f>
              <c:numCache>
                <c:formatCode>_-* #,##0_-;\-* #,##0_-;_-* "-"??_-;_-@_-</c:formatCode>
                <c:ptCount val="4"/>
                <c:pt idx="0">
                  <c:v>364032.7340490797</c:v>
                </c:pt>
                <c:pt idx="1">
                  <c:v>467104.0</c:v>
                </c:pt>
                <c:pt idx="2">
                  <c:v>368297.3426619034</c:v>
                </c:pt>
                <c:pt idx="3">
                  <c:v>364506.141649919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99078176"/>
        <c:axId val="-2107125008"/>
      </c:barChart>
      <c:catAx>
        <c:axId val="-20990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-2107125008"/>
        <c:crosses val="autoZero"/>
        <c:auto val="1"/>
        <c:lblAlgn val="ctr"/>
        <c:lblOffset val="100"/>
        <c:noMultiLvlLbl val="0"/>
      </c:catAx>
      <c:valAx>
        <c:axId val="-210712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Book" charset="0"/>
                <a:ea typeface="Avenir Book" charset="0"/>
                <a:cs typeface="Avenir Book" charset="0"/>
              </a:defRPr>
            </a:pPr>
            <a:endParaRPr lang="en-US"/>
          </a:p>
        </c:txPr>
        <c:crossAx val="-20990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venir Book" charset="0"/>
          <a:ea typeface="Avenir Book" charset="0"/>
          <a:cs typeface="Avenir Book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29308</xdr:colOff>
      <xdr:row>21</xdr:row>
      <xdr:rowOff>39077</xdr:rowOff>
    </xdr:from>
    <xdr:ext cx="6731000" cy="2452076"/>
    <xdr:sp macro="" textlink="">
      <xdr:nvSpPr>
        <xdr:cNvPr id="2" name="TextBox 1"/>
        <xdr:cNvSpPr txBox="1"/>
      </xdr:nvSpPr>
      <xdr:spPr>
        <a:xfrm>
          <a:off x="1865923" y="4552462"/>
          <a:ext cx="6731000" cy="2452076"/>
        </a:xfrm>
        <a:prstGeom prst="rect">
          <a:avLst/>
        </a:prstGeom>
        <a:solidFill>
          <a:schemeClr val="accent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bg1"/>
              </a:solidFill>
            </a:rPr>
            <a:t>Dette</a:t>
          </a:r>
          <a:r>
            <a:rPr lang="en-US" sz="1100" baseline="0">
              <a:solidFill>
                <a:schemeClr val="bg1"/>
              </a:solidFill>
            </a:rPr>
            <a:t> regnearket lar deg beregne hvilke sammensetninger av lønn og utbytte som er mest lønnsomt.  Verdier og satser for skatter og avgifter som er brukt i dette regnearket er for 2019, med unntak av G som er fra 2018. Som standard brukes feriepengesats på 12%, arbeidsgiveravgiftssats på 14,1% og maksimalt minstefradrag. En  oppdatert liste over gjeldene verdier og satser finnes på </a:t>
          </a:r>
          <a:r>
            <a:rPr lang="en-US" sz="1100" u="sng" baseline="0">
              <a:solidFill>
                <a:schemeClr val="bg1"/>
              </a:solidFill>
            </a:rPr>
            <a:t>regjeringen.no.</a:t>
          </a:r>
        </a:p>
        <a:p>
          <a:endParaRPr lang="en-US" sz="1100" u="sng" baseline="0">
            <a:solidFill>
              <a:schemeClr val="bg1"/>
            </a:solidFill>
          </a:endParaRPr>
        </a:p>
        <a:p>
          <a:r>
            <a:rPr lang="en-US" sz="1100" u="none" baseline="0">
              <a:solidFill>
                <a:schemeClr val="bg1"/>
              </a:solidFill>
            </a:rPr>
            <a:t>Fyll inn verdier i alle gule cellene på denne siden. Verdiene som legges inn her brukes i resten av regnearket og du trenger ikke fylle inn noen verdier i de andre fanene (med unntak av "Kun lønn" hvor du må legge inn ønsket  bruttolønn. For å maksimere lønn kan funksjonen Målsøk / Goal seek benyttes. Se forklaring av hvordan dette skal gjøres under "Kun lønn".</a:t>
          </a:r>
        </a:p>
        <a:p>
          <a:endParaRPr lang="en-US" sz="1100" u="none" baseline="0">
            <a:solidFill>
              <a:schemeClr val="bg1"/>
            </a:solidFill>
          </a:endParaRPr>
        </a:p>
        <a:p>
          <a:r>
            <a:rPr lang="en-US" sz="1100" u="none" baseline="0">
              <a:solidFill>
                <a:schemeClr val="bg1"/>
              </a:solidFill>
            </a:rPr>
            <a:t>Merk at regnearket ikke tar hensyn til særfradrag aksjonæren eventuelt har. </a:t>
          </a:r>
          <a:endParaRPr lang="en-US" sz="1100" u="none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205154</xdr:colOff>
      <xdr:row>9</xdr:row>
      <xdr:rowOff>64477</xdr:rowOff>
    </xdr:from>
    <xdr:to>
      <xdr:col>8</xdr:col>
      <xdr:colOff>68384</xdr:colOff>
      <xdr:row>17</xdr:row>
      <xdr:rowOff>146539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200269</xdr:colOff>
      <xdr:row>18</xdr:row>
      <xdr:rowOff>15630</xdr:rowOff>
    </xdr:from>
    <xdr:to>
      <xdr:col>8</xdr:col>
      <xdr:colOff>68383</xdr:colOff>
      <xdr:row>26</xdr:row>
      <xdr:rowOff>97691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G20"/>
  <sheetViews>
    <sheetView showGridLines="0" tabSelected="1" zoomScale="130" zoomScaleNormal="130" zoomScalePageLayoutView="130" workbookViewId="0"/>
  </sheetViews>
  <sheetFormatPr baseColWidth="10" defaultRowHeight="17" x14ac:dyDescent="0.25"/>
  <cols>
    <col min="1" max="2" width="10.83203125" style="1"/>
    <col min="3" max="3" width="2.33203125" style="1" customWidth="1"/>
    <col min="4" max="4" width="43.1640625" style="1" bestFit="1" customWidth="1"/>
    <col min="5" max="5" width="17.83203125" style="1" bestFit="1" customWidth="1"/>
    <col min="6" max="6" width="14" style="1" bestFit="1" customWidth="1"/>
    <col min="7" max="7" width="12.6640625" style="1" bestFit="1" customWidth="1"/>
    <col min="8" max="16384" width="10.83203125" style="1"/>
  </cols>
  <sheetData>
    <row r="1" spans="4:7" x14ac:dyDescent="0.25">
      <c r="D1" s="14"/>
    </row>
    <row r="2" spans="4:7" x14ac:dyDescent="0.25">
      <c r="D2" s="53" t="s">
        <v>49</v>
      </c>
      <c r="E2" s="54"/>
      <c r="F2" s="54"/>
      <c r="G2" s="54"/>
    </row>
    <row r="3" spans="4:7" x14ac:dyDescent="0.25">
      <c r="D3" s="28"/>
      <c r="E3" s="10"/>
    </row>
    <row r="4" spans="4:7" x14ac:dyDescent="0.25">
      <c r="D4" s="31" t="s">
        <v>50</v>
      </c>
      <c r="E4" s="48">
        <v>1000000</v>
      </c>
    </row>
    <row r="5" spans="4:7" x14ac:dyDescent="0.25">
      <c r="D5" s="1" t="s">
        <v>31</v>
      </c>
      <c r="E5" s="44">
        <v>96883</v>
      </c>
    </row>
    <row r="6" spans="4:7" x14ac:dyDescent="0.25">
      <c r="D6" s="1" t="s">
        <v>41</v>
      </c>
      <c r="E6" s="42">
        <v>0.22</v>
      </c>
    </row>
    <row r="7" spans="4:7" x14ac:dyDescent="0.25">
      <c r="D7" s="1" t="s">
        <v>32</v>
      </c>
      <c r="E7" s="49">
        <v>0.14099999999999999</v>
      </c>
    </row>
    <row r="8" spans="4:7" x14ac:dyDescent="0.25">
      <c r="D8" s="1" t="s">
        <v>33</v>
      </c>
      <c r="E8" s="49">
        <v>0.12</v>
      </c>
    </row>
    <row r="9" spans="4:7" x14ac:dyDescent="0.25">
      <c r="D9" s="10" t="s">
        <v>44</v>
      </c>
      <c r="E9" s="43">
        <v>1.44</v>
      </c>
    </row>
    <row r="11" spans="4:7" x14ac:dyDescent="0.25">
      <c r="D11" s="55" t="s">
        <v>58</v>
      </c>
      <c r="E11" s="55"/>
      <c r="F11" s="55" t="s">
        <v>51</v>
      </c>
      <c r="G11" s="55" t="s">
        <v>52</v>
      </c>
    </row>
    <row r="12" spans="4:7" x14ac:dyDescent="0.25">
      <c r="D12" s="1" t="s">
        <v>37</v>
      </c>
      <c r="E12" s="45">
        <v>1.9E-2</v>
      </c>
      <c r="F12" s="44">
        <v>174500</v>
      </c>
      <c r="G12" s="44">
        <v>245649</v>
      </c>
    </row>
    <row r="13" spans="4:7" x14ac:dyDescent="0.25">
      <c r="D13" s="1" t="s">
        <v>38</v>
      </c>
      <c r="E13" s="45">
        <v>4.2000000000000003E-2</v>
      </c>
      <c r="F13" s="44">
        <v>245650</v>
      </c>
      <c r="G13" s="44">
        <v>617499</v>
      </c>
    </row>
    <row r="14" spans="4:7" x14ac:dyDescent="0.25">
      <c r="D14" s="1" t="s">
        <v>39</v>
      </c>
      <c r="E14" s="45">
        <v>0.13200000000000001</v>
      </c>
      <c r="F14" s="44">
        <v>617500</v>
      </c>
      <c r="G14" s="44">
        <v>964799</v>
      </c>
    </row>
    <row r="15" spans="4:7" x14ac:dyDescent="0.25">
      <c r="D15" s="1" t="s">
        <v>40</v>
      </c>
      <c r="E15" s="45">
        <v>0.16200000000000001</v>
      </c>
      <c r="F15" s="44">
        <v>964800</v>
      </c>
      <c r="G15" s="44"/>
    </row>
    <row r="16" spans="4:7" x14ac:dyDescent="0.25">
      <c r="D16" s="10" t="s">
        <v>10</v>
      </c>
      <c r="E16" s="46">
        <v>8.2000000000000003E-2</v>
      </c>
      <c r="F16" s="47">
        <v>54650</v>
      </c>
      <c r="G16" s="47"/>
    </row>
    <row r="17" spans="4:5" x14ac:dyDescent="0.25">
      <c r="E17" s="5"/>
    </row>
    <row r="18" spans="4:5" x14ac:dyDescent="0.25">
      <c r="D18" s="55" t="s">
        <v>59</v>
      </c>
      <c r="E18" s="56"/>
    </row>
    <row r="19" spans="4:5" x14ac:dyDescent="0.25">
      <c r="D19" s="1" t="s">
        <v>43</v>
      </c>
      <c r="E19" s="44">
        <v>100800</v>
      </c>
    </row>
    <row r="20" spans="4:5" x14ac:dyDescent="0.25">
      <c r="D20" s="10" t="s">
        <v>42</v>
      </c>
      <c r="E20" s="52">
        <v>56550</v>
      </c>
    </row>
  </sheetData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Data!$A$1:$A$6</xm:f>
          </x14:formula1>
          <xm:sqref>E7</xm:sqref>
        </x14:dataValidation>
        <x14:dataValidation type="list" allowBlank="1" showInputMessage="1" showErrorMessage="1">
          <x14:formula1>
            <xm:f>Data!$B$1:$B$5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3" sqref="D3"/>
    </sheetView>
  </sheetViews>
  <sheetFormatPr baseColWidth="10" defaultRowHeight="16" x14ac:dyDescent="0.2"/>
  <cols>
    <col min="1" max="1" width="15.83203125" bestFit="1" customWidth="1"/>
  </cols>
  <sheetData>
    <row r="1" spans="1:4" x14ac:dyDescent="0.2">
      <c r="A1" t="s">
        <v>2</v>
      </c>
      <c r="B1" t="s">
        <v>46</v>
      </c>
      <c r="C1" t="s">
        <v>53</v>
      </c>
      <c r="D1" t="s">
        <v>54</v>
      </c>
    </row>
    <row r="2" spans="1:4" x14ac:dyDescent="0.2">
      <c r="A2" s="30">
        <v>0</v>
      </c>
      <c r="B2" s="30">
        <v>0.10199999999999999</v>
      </c>
      <c r="C2" s="18">
        <v>4000</v>
      </c>
      <c r="D2" s="41">
        <v>0.45</v>
      </c>
    </row>
    <row r="3" spans="1:4" x14ac:dyDescent="0.2">
      <c r="A3" s="30">
        <v>5.0999999999999997E-2</v>
      </c>
      <c r="B3" s="30">
        <v>0.12</v>
      </c>
      <c r="C3" s="18">
        <v>100800</v>
      </c>
    </row>
    <row r="4" spans="1:4" x14ac:dyDescent="0.2">
      <c r="A4" s="30">
        <v>6.4000000000000001E-2</v>
      </c>
      <c r="B4" s="30">
        <v>0.125</v>
      </c>
    </row>
    <row r="5" spans="1:4" x14ac:dyDescent="0.2">
      <c r="A5" s="30">
        <v>0.106</v>
      </c>
      <c r="B5" s="30">
        <v>0.14299999999999999</v>
      </c>
    </row>
    <row r="6" spans="1:4" x14ac:dyDescent="0.2">
      <c r="A6" s="30">
        <v>0.14099999999999999</v>
      </c>
      <c r="B6" s="30"/>
    </row>
    <row r="7" spans="1:4" x14ac:dyDescent="0.2">
      <c r="A7" s="17"/>
      <c r="B7" s="17"/>
    </row>
    <row r="8" spans="1:4" x14ac:dyDescent="0.2">
      <c r="A8" s="17"/>
      <c r="B8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28"/>
  <sheetViews>
    <sheetView showGridLines="0" zoomScale="130" zoomScaleNormal="130" zoomScalePageLayoutView="130" workbookViewId="0">
      <selection activeCell="F19" sqref="F19"/>
    </sheetView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7"/>
      <c r="D2" s="58" t="s">
        <v>0</v>
      </c>
      <c r="E2" s="59"/>
      <c r="F2" s="60"/>
      <c r="G2" s="60"/>
    </row>
    <row r="3" spans="3:7" x14ac:dyDescent="0.25">
      <c r="C3" s="37"/>
      <c r="D3" s="25"/>
      <c r="E3" s="38"/>
      <c r="F3" s="25"/>
      <c r="G3" s="25"/>
    </row>
    <row r="4" spans="3:7" x14ac:dyDescent="0.25">
      <c r="C4" s="57"/>
      <c r="D4" s="58" t="s">
        <v>56</v>
      </c>
      <c r="E4" s="59"/>
      <c r="F4" s="60"/>
      <c r="G4" s="60"/>
    </row>
    <row r="5" spans="3:7" x14ac:dyDescent="0.25">
      <c r="D5" s="1" t="str">
        <f>Innstillinger!D4</f>
        <v>Resultat før lønnskostnader, skatt og utbytte</v>
      </c>
      <c r="E5" s="3">
        <f>Resultat_før_lønnskostnader__skatt_og_utbytte</f>
        <v>1000000</v>
      </c>
    </row>
    <row r="6" spans="3:7" x14ac:dyDescent="0.25">
      <c r="C6" s="15" t="s">
        <v>25</v>
      </c>
      <c r="D6" s="1" t="s">
        <v>1</v>
      </c>
      <c r="E6" s="48">
        <v>782521.59759609366</v>
      </c>
    </row>
    <row r="7" spans="3:7" x14ac:dyDescent="0.25">
      <c r="C7" s="15" t="s">
        <v>25</v>
      </c>
      <c r="D7" s="1" t="s">
        <v>3</v>
      </c>
      <c r="E7" s="48">
        <f>IFERROR(Kun_lønn*Feriepengesats,0)</f>
        <v>93902.591711531233</v>
      </c>
      <c r="F7" s="4"/>
    </row>
    <row r="8" spans="3:7" x14ac:dyDescent="0.25">
      <c r="C8" s="16" t="s">
        <v>25</v>
      </c>
      <c r="D8" s="10" t="s">
        <v>2</v>
      </c>
      <c r="E8" s="51">
        <f>IFERROR((Kun_lønn+FP_kun_lønn)*Arbg.avgsats,0)</f>
        <v>123575.8106923751</v>
      </c>
      <c r="F8" s="4"/>
    </row>
    <row r="9" spans="3:7" x14ac:dyDescent="0.25">
      <c r="C9" s="15" t="s">
        <v>26</v>
      </c>
      <c r="D9" s="1" t="s">
        <v>4</v>
      </c>
      <c r="E9" s="3">
        <f>Res_f_kun_lønn-Kun_lønn-FP_kun_lønn-AGA_kun_lønn</f>
        <v>0</v>
      </c>
      <c r="F9" s="4"/>
    </row>
    <row r="10" spans="3:7" x14ac:dyDescent="0.25">
      <c r="C10" s="16" t="s">
        <v>25</v>
      </c>
      <c r="D10" s="10" t="s">
        <v>45</v>
      </c>
      <c r="E10" s="11">
        <f>Res_f_skatt_kun_lønn*Skattesats</f>
        <v>0</v>
      </c>
    </row>
    <row r="11" spans="3:7" x14ac:dyDescent="0.25">
      <c r="C11" s="15" t="s">
        <v>26</v>
      </c>
      <c r="D11" s="1" t="s">
        <v>5</v>
      </c>
      <c r="E11" s="3">
        <f>Res_f_skatt_kun_lønn-Skatt_kun_lønn</f>
        <v>0</v>
      </c>
    </row>
    <row r="13" spans="3:7" x14ac:dyDescent="0.25">
      <c r="C13" s="57"/>
      <c r="D13" s="60" t="s">
        <v>55</v>
      </c>
      <c r="E13" s="61" t="s">
        <v>11</v>
      </c>
      <c r="F13" s="62" t="s">
        <v>7</v>
      </c>
      <c r="G13" s="62" t="s">
        <v>6</v>
      </c>
    </row>
    <row r="14" spans="3:7" x14ac:dyDescent="0.25">
      <c r="D14" s="1" t="s">
        <v>1</v>
      </c>
      <c r="E14" s="3">
        <f>Kun_lønn</f>
        <v>782521.59759609366</v>
      </c>
      <c r="F14" s="5"/>
    </row>
    <row r="15" spans="3:7" x14ac:dyDescent="0.25">
      <c r="C15" s="15" t="s">
        <v>25</v>
      </c>
      <c r="D15" s="1" t="s">
        <v>43</v>
      </c>
      <c r="F15" s="5"/>
      <c r="G15" s="3">
        <f>IF(Kun_lønn&lt;Data!C2/Data!D2,0,MIN(Kun_lønn*Data!D2,Data!C3))</f>
        <v>100800</v>
      </c>
    </row>
    <row r="16" spans="3:7" x14ac:dyDescent="0.25">
      <c r="C16" s="16" t="s">
        <v>25</v>
      </c>
      <c r="D16" s="10" t="s">
        <v>42</v>
      </c>
      <c r="E16" s="12"/>
      <c r="F16" s="13"/>
      <c r="G16" s="11">
        <f>IF(Kun_lønn&lt;Personfradrag,0,Personfradrag)</f>
        <v>56550</v>
      </c>
    </row>
    <row r="17" spans="3:7" x14ac:dyDescent="0.25">
      <c r="C17" s="15" t="s">
        <v>26</v>
      </c>
      <c r="D17" s="1" t="s">
        <v>9</v>
      </c>
      <c r="E17" s="1"/>
      <c r="G17" s="3">
        <f>IFERROR(Grlag_kun_lønn-Minstefradrag_kun_lønn-Personfradrag_kun_lønn,"")</f>
        <v>625171.59759609366</v>
      </c>
    </row>
    <row r="18" spans="3:7" x14ac:dyDescent="0.25">
      <c r="C18" s="15"/>
      <c r="E18" s="1"/>
      <c r="G18" s="3"/>
    </row>
    <row r="19" spans="3:7" x14ac:dyDescent="0.25">
      <c r="C19" s="15"/>
      <c r="D19" s="1" t="s">
        <v>16</v>
      </c>
      <c r="E19" s="3">
        <f>IFERROR(Alm_innt_kun_lønn,0)</f>
        <v>625171.59759609366</v>
      </c>
      <c r="F19" s="5">
        <f>IFERROR(Skattesats,0)</f>
        <v>0.22</v>
      </c>
      <c r="G19" s="3">
        <f>IFERROR(Grlag_skatt_alm_innt_kun_lønn*Skattesats_alm_innt_kun_lønn,0)</f>
        <v>137537.7514711406</v>
      </c>
    </row>
    <row r="20" spans="3:7" x14ac:dyDescent="0.25">
      <c r="C20" s="15" t="s">
        <v>27</v>
      </c>
      <c r="D20" s="1" t="s">
        <v>10</v>
      </c>
      <c r="E20" s="3">
        <f>Grlag_kun_lønn</f>
        <v>782521.59759609366</v>
      </c>
      <c r="F20" s="5">
        <f>IFERROR(Trygdeavg,0)</f>
        <v>8.2000000000000003E-2</v>
      </c>
      <c r="G20" s="3">
        <f>IFERROR(IF(Grlag_trygdeavg_kun_lønn&gt;Innstillinger!F16,Grlag_trygdeavg_kun_lønn*Trygdeavgsats_kun_lønn,0),0)</f>
        <v>64166.771002879686</v>
      </c>
    </row>
    <row r="21" spans="3:7" x14ac:dyDescent="0.25">
      <c r="C21" s="15" t="s">
        <v>27</v>
      </c>
      <c r="D21" s="1" t="s">
        <v>12</v>
      </c>
      <c r="E21" s="3">
        <f>IFERROR(IF(Kun_lønn&gt;=Ngrense_trinn_2,Ngrense_trinn_2-Ngrense_trinn_1,MAX(Kun_lønn-Ngrense_trinn_1,0)),0)</f>
        <v>71150</v>
      </c>
      <c r="F21" s="5">
        <f>Trinn_1</f>
        <v>1.9E-2</v>
      </c>
      <c r="G21" s="3">
        <f>IFERROR(Trinn_1_kun_lønn*Trinn_1_sats_kun_lønn,0)</f>
        <v>1351.85</v>
      </c>
    </row>
    <row r="22" spans="3:7" x14ac:dyDescent="0.25">
      <c r="C22" s="15" t="s">
        <v>27</v>
      </c>
      <c r="D22" s="1" t="s">
        <v>13</v>
      </c>
      <c r="E22" s="3">
        <f>IFERROR(IF(Kun_lønn&gt;=Ngrense_trinn_3,Ngrense_trinn_3-Ngrense_trinn_2,MAX(Kun_lønn-Ngrense_trinn_2,0)),0)</f>
        <v>371850</v>
      </c>
      <c r="F22" s="5">
        <f>Trinn_2</f>
        <v>4.2000000000000003E-2</v>
      </c>
      <c r="G22" s="3">
        <f>IFERROR(Trinn_2_kun_lønn*Trinn_2_sats_kun_lønn,0)</f>
        <v>15617.7</v>
      </c>
    </row>
    <row r="23" spans="3:7" x14ac:dyDescent="0.25">
      <c r="C23" s="15" t="s">
        <v>27</v>
      </c>
      <c r="D23" s="1" t="s">
        <v>14</v>
      </c>
      <c r="E23" s="3">
        <f>IFERROR(IF(Kun_lønn&gt;=Ngrense_trinn_4,Ngrense_trinn_4-Ngrense_trinn_3,MAX(Kun_lønn-Ngrense_trinn_3,0)),0)</f>
        <v>165021.59759609366</v>
      </c>
      <c r="F23" s="5">
        <f>Trinn_3</f>
        <v>0.13200000000000001</v>
      </c>
      <c r="G23" s="3">
        <f>IFERROR(Trinn_3_kun_lønn*Trinn_3_sats_kun_lønn,0)</f>
        <v>21782.850882684364</v>
      </c>
    </row>
    <row r="24" spans="3:7" x14ac:dyDescent="0.25">
      <c r="C24" s="16" t="s">
        <v>27</v>
      </c>
      <c r="D24" s="10" t="s">
        <v>15</v>
      </c>
      <c r="E24" s="11">
        <f>IFERROR(IF(Kun_lønn&gt;Ngrense_trinn_4,Kun_lønn-Ngrense_trinn_4,0),0)</f>
        <v>0</v>
      </c>
      <c r="F24" s="13">
        <f>Trinn_4</f>
        <v>0.16200000000000001</v>
      </c>
      <c r="G24" s="11">
        <f>IFERROR(Trinn_4_kun_lønn*Trinn_4_sats_kun_lønn,0)</f>
        <v>0</v>
      </c>
    </row>
    <row r="25" spans="3:7" x14ac:dyDescent="0.25">
      <c r="C25" s="15" t="s">
        <v>26</v>
      </c>
      <c r="D25" s="1" t="s">
        <v>35</v>
      </c>
      <c r="E25" s="3"/>
      <c r="F25" s="8"/>
      <c r="G25" s="3">
        <f>SUM(G19:G24)</f>
        <v>240456.92335670468</v>
      </c>
    </row>
    <row r="26" spans="3:7" x14ac:dyDescent="0.25">
      <c r="E26" s="3"/>
      <c r="F26" s="8"/>
      <c r="G26" s="3"/>
    </row>
    <row r="27" spans="3:7" x14ac:dyDescent="0.25">
      <c r="C27" s="50"/>
      <c r="D27" s="32" t="s">
        <v>17</v>
      </c>
      <c r="E27" s="33"/>
      <c r="F27" s="34"/>
      <c r="G27" s="33">
        <f>Grlag_kun_lønn-Sum_skatt_kun_lønn</f>
        <v>542064.67423938902</v>
      </c>
    </row>
    <row r="28" spans="3:7" x14ac:dyDescent="0.25">
      <c r="E28" s="3"/>
      <c r="F28" s="8"/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28"/>
  <sheetViews>
    <sheetView showGridLines="0" zoomScale="130" zoomScaleNormal="130" zoomScalePageLayoutView="130" workbookViewId="0">
      <selection activeCell="D17" sqref="D17"/>
    </sheetView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4.1640625" style="2" bestFit="1" customWidth="1"/>
    <col min="6" max="6" width="10.83203125" style="1"/>
    <col min="7" max="7" width="11.33203125" style="1" bestFit="1" customWidth="1"/>
    <col min="8" max="16384" width="10.83203125" style="1"/>
  </cols>
  <sheetData>
    <row r="2" spans="3:7" x14ac:dyDescent="0.25">
      <c r="C2" s="57"/>
      <c r="D2" s="58" t="s">
        <v>18</v>
      </c>
      <c r="E2" s="59"/>
    </row>
    <row r="3" spans="3:7" x14ac:dyDescent="0.25">
      <c r="C3" s="37"/>
      <c r="D3" s="25"/>
      <c r="E3" s="38"/>
    </row>
    <row r="4" spans="3:7" x14ac:dyDescent="0.25">
      <c r="C4" s="57"/>
      <c r="D4" s="60" t="s">
        <v>56</v>
      </c>
      <c r="E4" s="59"/>
    </row>
    <row r="5" spans="3:7" x14ac:dyDescent="0.25">
      <c r="D5" s="1" t="str">
        <f>Innstillinger!D4</f>
        <v>Resultat før lønnskostnader, skatt og utbytte</v>
      </c>
      <c r="E5" s="3">
        <f>Resultat_før_lønnskostnader__skatt_og_utbytte</f>
        <v>1000000</v>
      </c>
    </row>
    <row r="6" spans="3:7" x14ac:dyDescent="0.25">
      <c r="C6" s="16" t="s">
        <v>25</v>
      </c>
      <c r="D6" s="10" t="s">
        <v>47</v>
      </c>
      <c r="E6" s="11">
        <f>Res_f_skatt_kun_utbytte*Skattesats</f>
        <v>220000</v>
      </c>
    </row>
    <row r="7" spans="3:7" x14ac:dyDescent="0.25">
      <c r="C7" s="15" t="s">
        <v>26</v>
      </c>
      <c r="D7" s="1" t="s">
        <v>5</v>
      </c>
      <c r="E7" s="3">
        <f>Res_f_skatt_kun_utbytte-Skatt_overskudd_kun_utbytte</f>
        <v>780000</v>
      </c>
    </row>
    <row r="8" spans="3:7" x14ac:dyDescent="0.25">
      <c r="E8" s="3"/>
    </row>
    <row r="9" spans="3:7" x14ac:dyDescent="0.25">
      <c r="C9" s="57"/>
      <c r="D9" s="60" t="s">
        <v>55</v>
      </c>
      <c r="E9" s="59"/>
    </row>
    <row r="10" spans="3:7" x14ac:dyDescent="0.25">
      <c r="D10" s="1" t="s">
        <v>19</v>
      </c>
      <c r="E10" s="3">
        <f>Årsres_kun_utbytte</f>
        <v>780000</v>
      </c>
    </row>
    <row r="11" spans="3:7" x14ac:dyDescent="0.25">
      <c r="C11" s="35" t="s">
        <v>25</v>
      </c>
      <c r="D11" s="25" t="s">
        <v>48</v>
      </c>
      <c r="E11" s="19">
        <f>Utbytte_kun_utbytte*Oppjusteringsfaktor*Skattesats</f>
        <v>247104</v>
      </c>
    </row>
    <row r="12" spans="3:7" x14ac:dyDescent="0.25">
      <c r="C12" s="36" t="s">
        <v>26</v>
      </c>
      <c r="D12" s="32" t="s">
        <v>17</v>
      </c>
      <c r="E12" s="33">
        <f>Utbytte_kun_utbytte-Skatt_utbytte_kun_utbytte</f>
        <v>532896</v>
      </c>
    </row>
    <row r="13" spans="3:7" x14ac:dyDescent="0.25">
      <c r="E13" s="5"/>
    </row>
    <row r="15" spans="3:7" x14ac:dyDescent="0.25">
      <c r="E15" s="3"/>
      <c r="F15" s="5"/>
    </row>
    <row r="16" spans="3:7" x14ac:dyDescent="0.25">
      <c r="E16" s="8"/>
      <c r="F16" s="5"/>
      <c r="G16" s="3"/>
    </row>
    <row r="17" spans="5:7" x14ac:dyDescent="0.25">
      <c r="F17" s="5"/>
      <c r="G17" s="3"/>
    </row>
    <row r="18" spans="5:7" x14ac:dyDescent="0.25">
      <c r="E18" s="3"/>
      <c r="F18" s="5"/>
      <c r="G18" s="4"/>
    </row>
    <row r="19" spans="5:7" x14ac:dyDescent="0.25">
      <c r="F19" s="6"/>
    </row>
    <row r="20" spans="5:7" x14ac:dyDescent="0.25">
      <c r="E20" s="3"/>
      <c r="F20" s="5"/>
      <c r="G20" s="7"/>
    </row>
    <row r="21" spans="5:7" x14ac:dyDescent="0.25">
      <c r="E21" s="3"/>
      <c r="F21" s="5"/>
      <c r="G21" s="7"/>
    </row>
    <row r="22" spans="5:7" x14ac:dyDescent="0.25">
      <c r="E22" s="3"/>
      <c r="F22" s="5"/>
      <c r="G22" s="7"/>
    </row>
    <row r="23" spans="5:7" x14ac:dyDescent="0.25">
      <c r="E23" s="3"/>
      <c r="F23" s="5"/>
      <c r="G23" s="7"/>
    </row>
    <row r="24" spans="5:7" x14ac:dyDescent="0.25">
      <c r="E24" s="3"/>
      <c r="F24" s="5"/>
      <c r="G24" s="7"/>
    </row>
    <row r="25" spans="5:7" x14ac:dyDescent="0.25">
      <c r="E25" s="3"/>
      <c r="F25" s="8"/>
      <c r="G25" s="4"/>
    </row>
    <row r="26" spans="5:7" x14ac:dyDescent="0.25">
      <c r="E26" s="3"/>
      <c r="F26" s="8"/>
    </row>
    <row r="27" spans="5:7" x14ac:dyDescent="0.25">
      <c r="E27" s="3"/>
      <c r="F27" s="8"/>
      <c r="G27" s="4"/>
    </row>
    <row r="28" spans="5:7" x14ac:dyDescent="0.25">
      <c r="E28" s="3"/>
      <c r="F28" s="8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35"/>
  <sheetViews>
    <sheetView showGridLines="0" zoomScale="130" zoomScaleNormal="130" zoomScalePageLayoutView="130" workbookViewId="0">
      <selection activeCell="I14" sqref="I14"/>
    </sheetView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7"/>
      <c r="D2" s="58" t="s">
        <v>20</v>
      </c>
      <c r="E2" s="59"/>
      <c r="F2" s="60"/>
      <c r="G2" s="60"/>
    </row>
    <row r="4" spans="3:7" x14ac:dyDescent="0.25">
      <c r="C4" s="57"/>
      <c r="D4" s="58" t="s">
        <v>56</v>
      </c>
      <c r="E4" s="59"/>
      <c r="F4" s="60"/>
      <c r="G4" s="60"/>
    </row>
    <row r="5" spans="3:7" x14ac:dyDescent="0.25">
      <c r="D5" s="1" t="str">
        <f>Innstillinger!D4</f>
        <v>Resultat før lønnskostnader, skatt og utbytte</v>
      </c>
      <c r="E5" s="3">
        <f>Resultat_før_lønnskostnader__skatt_og_utbytte</f>
        <v>1000000</v>
      </c>
    </row>
    <row r="6" spans="3:7" x14ac:dyDescent="0.25">
      <c r="C6" s="15" t="s">
        <v>25</v>
      </c>
      <c r="D6" s="1" t="s">
        <v>24</v>
      </c>
      <c r="E6" s="3">
        <f>Grunnbeløp*6</f>
        <v>581298</v>
      </c>
    </row>
    <row r="7" spans="3:7" x14ac:dyDescent="0.25">
      <c r="C7" s="15" t="s">
        <v>25</v>
      </c>
      <c r="D7" s="1" t="s">
        <v>3</v>
      </c>
      <c r="E7" s="3">
        <f>IFERROR(Lønn6G*Feriepengesats,"Mangler verdi")</f>
        <v>69755.759999999995</v>
      </c>
      <c r="F7" s="4"/>
    </row>
    <row r="8" spans="3:7" x14ac:dyDescent="0.25">
      <c r="C8" s="16" t="s">
        <v>25</v>
      </c>
      <c r="D8" s="10" t="s">
        <v>2</v>
      </c>
      <c r="E8" s="11">
        <f>IFERROR((Lønn6G+FP_lønn6G)*Arbg.avgsats,"Mangler verdi")</f>
        <v>91798.580159999998</v>
      </c>
      <c r="F8" s="4"/>
    </row>
    <row r="9" spans="3:7" x14ac:dyDescent="0.25">
      <c r="C9" s="15" t="s">
        <v>26</v>
      </c>
      <c r="D9" s="1" t="s">
        <v>4</v>
      </c>
      <c r="E9" s="3">
        <f>MAX(IFERROR(Res_f_lønn6G-Lønn6G-FP_lønn6G-AGA_lønn6G,0),0)</f>
        <v>257147.65983999998</v>
      </c>
      <c r="F9" s="4"/>
    </row>
    <row r="10" spans="3:7" x14ac:dyDescent="0.25">
      <c r="C10" s="16" t="s">
        <v>25</v>
      </c>
      <c r="D10" s="10" t="s">
        <v>45</v>
      </c>
      <c r="E10" s="11">
        <f>Res_f_skatt_lønn6G*Skattesats</f>
        <v>56572.485164799997</v>
      </c>
    </row>
    <row r="11" spans="3:7" x14ac:dyDescent="0.25">
      <c r="C11" s="15" t="s">
        <v>26</v>
      </c>
      <c r="D11" s="1" t="s">
        <v>5</v>
      </c>
      <c r="E11" s="3">
        <f>Res_f_skatt_lønn6G-Skatt_lønn6G</f>
        <v>200575.17467519999</v>
      </c>
    </row>
    <row r="12" spans="3:7" x14ac:dyDescent="0.25">
      <c r="E12" s="3"/>
    </row>
    <row r="13" spans="3:7" x14ac:dyDescent="0.25">
      <c r="C13" s="63"/>
      <c r="D13" s="64" t="s">
        <v>55</v>
      </c>
      <c r="E13" s="65"/>
      <c r="F13" s="64"/>
      <c r="G13" s="64"/>
    </row>
    <row r="14" spans="3:7" x14ac:dyDescent="0.25">
      <c r="D14" s="1" t="s">
        <v>19</v>
      </c>
      <c r="E14" s="3">
        <f>Årsres_lønn6G</f>
        <v>200575.17467519999</v>
      </c>
    </row>
    <row r="15" spans="3:7" x14ac:dyDescent="0.25">
      <c r="C15" s="16" t="s">
        <v>25</v>
      </c>
      <c r="D15" s="10" t="s">
        <v>48</v>
      </c>
      <c r="E15" s="11">
        <f>Utbytte_lønn6G*Oppjusteringsfaktor*Skattesats</f>
        <v>63542.215337103356</v>
      </c>
    </row>
    <row r="16" spans="3:7" x14ac:dyDescent="0.25">
      <c r="C16" s="9" t="s">
        <v>26</v>
      </c>
      <c r="D16" s="1" t="s">
        <v>21</v>
      </c>
      <c r="E16" s="3">
        <f>Utbytte_lønn6G-Skatt_utbytte_lønn6G</f>
        <v>137032.95933809664</v>
      </c>
    </row>
    <row r="19" spans="3:7" x14ac:dyDescent="0.25">
      <c r="C19" s="57"/>
      <c r="D19" s="64" t="s">
        <v>55</v>
      </c>
      <c r="E19" s="61" t="s">
        <v>11</v>
      </c>
      <c r="F19" s="62" t="s">
        <v>7</v>
      </c>
      <c r="G19" s="62" t="s">
        <v>6</v>
      </c>
    </row>
    <row r="20" spans="3:7" x14ac:dyDescent="0.25">
      <c r="D20" s="1" t="s">
        <v>24</v>
      </c>
      <c r="E20" s="3">
        <f>Lønn6G</f>
        <v>581298</v>
      </c>
      <c r="F20" s="5"/>
    </row>
    <row r="21" spans="3:7" x14ac:dyDescent="0.25">
      <c r="C21" s="15" t="s">
        <v>25</v>
      </c>
      <c r="D21" s="1" t="s">
        <v>8</v>
      </c>
      <c r="F21" s="5"/>
      <c r="G21" s="3">
        <f>IF(Lønn6G&lt;Data!C2/Data!D2,0,MIN(Lønn6G*Data!D2,Data!C3))</f>
        <v>100800</v>
      </c>
    </row>
    <row r="22" spans="3:7" x14ac:dyDescent="0.25">
      <c r="C22" s="16" t="s">
        <v>25</v>
      </c>
      <c r="D22" s="10" t="s">
        <v>42</v>
      </c>
      <c r="E22" s="12"/>
      <c r="F22" s="13"/>
      <c r="G22" s="11">
        <f>IF(Lønn6G&lt;Personfradrag,0,Personfradrag)</f>
        <v>56550</v>
      </c>
    </row>
    <row r="23" spans="3:7" x14ac:dyDescent="0.25">
      <c r="C23" s="9" t="s">
        <v>26</v>
      </c>
      <c r="D23" s="1" t="s">
        <v>9</v>
      </c>
      <c r="E23" s="3"/>
      <c r="F23" s="5"/>
      <c r="G23" s="3">
        <f>IFERROR(Grlag_lønn6G-Minstefradrag_lønn6G-Personfradrag_lønn6G,0)</f>
        <v>423948</v>
      </c>
    </row>
    <row r="24" spans="3:7" x14ac:dyDescent="0.25">
      <c r="E24" s="3"/>
      <c r="F24" s="5"/>
      <c r="G24" s="3"/>
    </row>
    <row r="25" spans="3:7" x14ac:dyDescent="0.25">
      <c r="D25" s="1" t="s">
        <v>16</v>
      </c>
      <c r="E25" s="3">
        <f>G23</f>
        <v>423948</v>
      </c>
      <c r="F25" s="6">
        <f>Skattesats</f>
        <v>0.22</v>
      </c>
      <c r="G25" s="3">
        <f>Grlag_skatt_alm_innt_lønn6G*Skattesats_alm_innt_lønn6G</f>
        <v>93268.56</v>
      </c>
    </row>
    <row r="26" spans="3:7" x14ac:dyDescent="0.25">
      <c r="C26" s="15" t="s">
        <v>27</v>
      </c>
      <c r="D26" s="1" t="s">
        <v>10</v>
      </c>
      <c r="E26" s="3">
        <f>E20</f>
        <v>581298</v>
      </c>
      <c r="F26" s="5">
        <f>Trygdeavg</f>
        <v>8.2000000000000003E-2</v>
      </c>
      <c r="G26" s="3">
        <f>IFERROR(IF(Grlag_trygdeavg_lønn6G&gt;Innstillinger!F16,Grlag_trygdeavg_lønn6G*Trygdeavgsats_lønn6G,0),0)</f>
        <v>47666.436000000002</v>
      </c>
    </row>
    <row r="27" spans="3:7" x14ac:dyDescent="0.25">
      <c r="C27" s="15" t="s">
        <v>27</v>
      </c>
      <c r="D27" s="1" t="s">
        <v>12</v>
      </c>
      <c r="E27" s="3">
        <f>IFERROR(IF(Lønn6G&gt;=Ngrense_trinn_2,Ngrense_trinn_2-Ngrense_trinn_1,MAX(Lønn6G-Ngrense_trinn_1,0)),0)</f>
        <v>71150</v>
      </c>
      <c r="F27" s="5">
        <f>Trinn_1</f>
        <v>1.9E-2</v>
      </c>
      <c r="G27" s="3">
        <f>Trinn_1_lønn6G*Trinn_1_sats_lønn6G</f>
        <v>1351.85</v>
      </c>
    </row>
    <row r="28" spans="3:7" x14ac:dyDescent="0.25">
      <c r="C28" s="15" t="s">
        <v>27</v>
      </c>
      <c r="D28" s="1" t="s">
        <v>13</v>
      </c>
      <c r="E28" s="3">
        <f>IFERROR(IF(Lønn6G&gt;=Ngrense_trinn_3,Ngrense_trinn_3-Ngrense_trinn_2,MAX(Lønn6G-Ngrense_trinn_2,0)),0)</f>
        <v>335648</v>
      </c>
      <c r="F28" s="5">
        <f>Trinn_2</f>
        <v>4.2000000000000003E-2</v>
      </c>
      <c r="G28" s="3">
        <f>Trinn_2_lønn6G*Trinn_2_sats_lønn6G</f>
        <v>14097.216</v>
      </c>
    </row>
    <row r="29" spans="3:7" x14ac:dyDescent="0.25">
      <c r="C29" s="15" t="s">
        <v>27</v>
      </c>
      <c r="D29" s="1" t="s">
        <v>14</v>
      </c>
      <c r="E29" s="3">
        <f>IFERROR(IF(Lønn6G&gt;=Ngrense_trinn_4,Ngrense_trinn_4-Ngrense_trinn_3,MAX(Lønn6G-Ngrense_trinn_3,0)),0)</f>
        <v>0</v>
      </c>
      <c r="F29" s="5">
        <f>Trinn_3</f>
        <v>0.13200000000000001</v>
      </c>
      <c r="G29" s="3">
        <f>Trinn_3_lønn6G*Trinn_3_sats_lønn6G</f>
        <v>0</v>
      </c>
    </row>
    <row r="30" spans="3:7" x14ac:dyDescent="0.25">
      <c r="C30" s="22" t="s">
        <v>27</v>
      </c>
      <c r="D30" s="21" t="s">
        <v>15</v>
      </c>
      <c r="E30" s="23">
        <f>IFERROR(IF(Lønn6G&gt;Ngrense_trinn_4,Lønn6G-Ngrense_trinn_4,0),0)</f>
        <v>0</v>
      </c>
      <c r="F30" s="24">
        <f>Trinn_4</f>
        <v>0.16200000000000001</v>
      </c>
      <c r="G30" s="23">
        <f>Trinn_4_lønn6G*Trinn_4_sats_lønn6G</f>
        <v>0</v>
      </c>
    </row>
    <row r="31" spans="3:7" x14ac:dyDescent="0.25">
      <c r="C31" s="15" t="s">
        <v>26</v>
      </c>
      <c r="D31" s="1" t="s">
        <v>35</v>
      </c>
      <c r="E31" s="3"/>
      <c r="F31" s="8"/>
      <c r="G31" s="3">
        <f>SUM(G25:G30)</f>
        <v>156384.06199999998</v>
      </c>
    </row>
    <row r="32" spans="3:7" x14ac:dyDescent="0.25">
      <c r="C32" s="15"/>
      <c r="E32" s="3"/>
      <c r="F32" s="8"/>
      <c r="G32" s="3"/>
    </row>
    <row r="33" spans="3:7" x14ac:dyDescent="0.25">
      <c r="D33" s="1" t="s">
        <v>21</v>
      </c>
      <c r="G33" s="3">
        <f>Net_utbytte_lønn6G</f>
        <v>137032.95933809664</v>
      </c>
    </row>
    <row r="34" spans="3:7" x14ac:dyDescent="0.25">
      <c r="C34" s="37" t="s">
        <v>27</v>
      </c>
      <c r="D34" s="25" t="s">
        <v>22</v>
      </c>
      <c r="E34" s="38"/>
      <c r="F34" s="25"/>
      <c r="G34" s="19">
        <f>Lønn6G-Sum_skatt_lønn6G</f>
        <v>424913.93800000002</v>
      </c>
    </row>
    <row r="35" spans="3:7" x14ac:dyDescent="0.25">
      <c r="C35" s="36" t="s">
        <v>26</v>
      </c>
      <c r="D35" s="32" t="s">
        <v>17</v>
      </c>
      <c r="E35" s="39"/>
      <c r="F35" s="32"/>
      <c r="G35" s="33">
        <f>SUM(G33:G34)</f>
        <v>561946.89733809663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35"/>
  <sheetViews>
    <sheetView showGridLines="0" zoomScale="130" zoomScaleNormal="130" zoomScalePageLayoutView="130" workbookViewId="0">
      <selection activeCell="H10" sqref="H10"/>
    </sheetView>
  </sheetViews>
  <sheetFormatPr baseColWidth="10" defaultRowHeight="17" x14ac:dyDescent="0.25"/>
  <cols>
    <col min="1" max="2" width="10.83203125" style="1"/>
    <col min="3" max="3" width="2.33203125" style="9" bestFit="1" customWidth="1"/>
    <col min="4" max="4" width="41.5" style="1" bestFit="1" customWidth="1"/>
    <col min="5" max="5" width="11.6640625" style="2" customWidth="1"/>
    <col min="6" max="7" width="11.6640625" style="1" customWidth="1"/>
    <col min="8" max="16384" width="10.83203125" style="1"/>
  </cols>
  <sheetData>
    <row r="2" spans="3:7" x14ac:dyDescent="0.25">
      <c r="C2" s="57"/>
      <c r="D2" s="58" t="s">
        <v>20</v>
      </c>
      <c r="E2" s="59"/>
      <c r="F2" s="60"/>
      <c r="G2" s="60"/>
    </row>
    <row r="4" spans="3:7" x14ac:dyDescent="0.25">
      <c r="C4" s="57"/>
      <c r="D4" s="58" t="s">
        <v>56</v>
      </c>
      <c r="E4" s="59"/>
      <c r="F4" s="60"/>
      <c r="G4" s="60"/>
    </row>
    <row r="5" spans="3:7" x14ac:dyDescent="0.25">
      <c r="D5" s="1" t="str">
        <f>Innstillinger!D4</f>
        <v>Resultat før lønnskostnader, skatt og utbytte</v>
      </c>
      <c r="E5" s="3">
        <f>Resultat_før_lønnskostnader__skatt_og_utbytte</f>
        <v>1000000</v>
      </c>
    </row>
    <row r="6" spans="3:7" x14ac:dyDescent="0.25">
      <c r="C6" s="15" t="s">
        <v>25</v>
      </c>
      <c r="D6" s="1" t="s">
        <v>23</v>
      </c>
      <c r="E6" s="3">
        <f>Grunnbeløp*7.1</f>
        <v>687869.29999999993</v>
      </c>
    </row>
    <row r="7" spans="3:7" x14ac:dyDescent="0.25">
      <c r="C7" s="15" t="s">
        <v>25</v>
      </c>
      <c r="D7" s="1" t="s">
        <v>3</v>
      </c>
      <c r="E7" s="3">
        <f>IFERROR(Lønn7G*Feriepengesats,"Mangler verdi")</f>
        <v>82544.315999999992</v>
      </c>
      <c r="F7" s="4"/>
    </row>
    <row r="8" spans="3:7" x14ac:dyDescent="0.25">
      <c r="C8" s="16" t="s">
        <v>25</v>
      </c>
      <c r="D8" s="10" t="s">
        <v>2</v>
      </c>
      <c r="E8" s="11">
        <f>IFERROR((Lønn7G+FP_lønn7G)*Arbg.avgsats,"Mangler verdi")</f>
        <v>108628.31985599997</v>
      </c>
      <c r="F8" s="4"/>
    </row>
    <row r="9" spans="3:7" x14ac:dyDescent="0.25">
      <c r="C9" s="15" t="s">
        <v>26</v>
      </c>
      <c r="D9" s="1" t="s">
        <v>4</v>
      </c>
      <c r="E9" s="3">
        <f>MAX(IFERROR(Res_f_lønn7G-Lønn7G-FP_lønn7G-AGA_lønn7G,0),0)</f>
        <v>120958.06414400011</v>
      </c>
      <c r="F9" s="4"/>
    </row>
    <row r="10" spans="3:7" x14ac:dyDescent="0.25">
      <c r="C10" s="16" t="s">
        <v>25</v>
      </c>
      <c r="D10" s="10" t="s">
        <v>45</v>
      </c>
      <c r="E10" s="11">
        <f>Res_f_skatt_lønn7G*Skattesats</f>
        <v>26610.774111680024</v>
      </c>
    </row>
    <row r="11" spans="3:7" x14ac:dyDescent="0.25">
      <c r="C11" s="15" t="s">
        <v>26</v>
      </c>
      <c r="D11" s="1" t="s">
        <v>5</v>
      </c>
      <c r="E11" s="3">
        <f>Res_f_skatt_lønn7G-Skatt_lønn7G</f>
        <v>94347.290032320074</v>
      </c>
    </row>
    <row r="12" spans="3:7" x14ac:dyDescent="0.25">
      <c r="E12" s="3"/>
    </row>
    <row r="13" spans="3:7" x14ac:dyDescent="0.25">
      <c r="C13" s="63"/>
      <c r="D13" s="64" t="s">
        <v>55</v>
      </c>
      <c r="E13" s="65"/>
      <c r="F13" s="64"/>
      <c r="G13" s="64"/>
    </row>
    <row r="14" spans="3:7" x14ac:dyDescent="0.25">
      <c r="D14" s="1" t="s">
        <v>19</v>
      </c>
      <c r="E14" s="3">
        <f>Årsres_lønn7G</f>
        <v>94347.290032320074</v>
      </c>
    </row>
    <row r="15" spans="3:7" x14ac:dyDescent="0.25">
      <c r="C15" s="16" t="s">
        <v>25</v>
      </c>
      <c r="D15" s="10" t="s">
        <v>48</v>
      </c>
      <c r="E15" s="11">
        <f>Utbytte_lønn7G*Oppjusteringsfaktor*Skattesats</f>
        <v>29889.221482238998</v>
      </c>
    </row>
    <row r="16" spans="3:7" x14ac:dyDescent="0.25">
      <c r="C16" s="15" t="s">
        <v>26</v>
      </c>
      <c r="D16" s="1" t="s">
        <v>21</v>
      </c>
      <c r="E16" s="3">
        <f>Utbytte_lønn7G-Skatt_utbytte_lønn7G</f>
        <v>64458.06855008108</v>
      </c>
    </row>
    <row r="19" spans="3:7" x14ac:dyDescent="0.25">
      <c r="C19" s="57"/>
      <c r="D19" s="64" t="s">
        <v>55</v>
      </c>
      <c r="E19" s="61" t="s">
        <v>11</v>
      </c>
      <c r="F19" s="62" t="s">
        <v>7</v>
      </c>
      <c r="G19" s="62" t="s">
        <v>6</v>
      </c>
    </row>
    <row r="20" spans="3:7" x14ac:dyDescent="0.25">
      <c r="D20" s="1" t="s">
        <v>23</v>
      </c>
      <c r="E20" s="3">
        <f>Lønn7G</f>
        <v>687869.29999999993</v>
      </c>
      <c r="F20" s="5"/>
    </row>
    <row r="21" spans="3:7" x14ac:dyDescent="0.25">
      <c r="C21" s="15" t="s">
        <v>25</v>
      </c>
      <c r="D21" s="1" t="s">
        <v>8</v>
      </c>
      <c r="F21" s="5"/>
      <c r="G21" s="3">
        <f>IF(Lønn7G&lt;Data!C2/Data!D2,0,MIN(Lønn7G*Data!D2,Data!C3))</f>
        <v>100800</v>
      </c>
    </row>
    <row r="22" spans="3:7" x14ac:dyDescent="0.25">
      <c r="C22" s="16" t="s">
        <v>25</v>
      </c>
      <c r="D22" s="10" t="s">
        <v>42</v>
      </c>
      <c r="E22" s="12"/>
      <c r="F22" s="13"/>
      <c r="G22" s="11">
        <f>IF(Lønn7G&lt;Personfradrag,0,Personfradrag)</f>
        <v>56550</v>
      </c>
    </row>
    <row r="23" spans="3:7" x14ac:dyDescent="0.25">
      <c r="C23" s="15" t="s">
        <v>26</v>
      </c>
      <c r="D23" s="1" t="s">
        <v>9</v>
      </c>
      <c r="E23" s="3"/>
      <c r="F23" s="5"/>
      <c r="G23" s="3">
        <f>IFERROR(Grlag_lønn7G-Minstefradrag_lønn7G-Personfradrag_lønn7G,0)</f>
        <v>530519.29999999993</v>
      </c>
    </row>
    <row r="24" spans="3:7" x14ac:dyDescent="0.25">
      <c r="F24" s="6"/>
      <c r="G24" s="3"/>
    </row>
    <row r="25" spans="3:7" x14ac:dyDescent="0.25">
      <c r="D25" s="1" t="s">
        <v>16</v>
      </c>
      <c r="E25" s="3">
        <f>Alm_innt_lønn7G</f>
        <v>530519.29999999993</v>
      </c>
      <c r="F25" s="6">
        <f>Skattesats</f>
        <v>0.22</v>
      </c>
      <c r="G25" s="3">
        <f>Grlag_skatt_alm_innt_lønn7G*Skattesats_alm_innt_lønn7G</f>
        <v>116714.24599999998</v>
      </c>
    </row>
    <row r="26" spans="3:7" x14ac:dyDescent="0.25">
      <c r="C26" s="15" t="s">
        <v>27</v>
      </c>
      <c r="D26" s="1" t="s">
        <v>10</v>
      </c>
      <c r="E26" s="3">
        <f>Grlag_lønn7G</f>
        <v>687869.29999999993</v>
      </c>
      <c r="F26" s="5">
        <f>Trygdeavg</f>
        <v>8.2000000000000003E-2</v>
      </c>
      <c r="G26" s="3">
        <f>IFERROR(IF(Grlag_trygdeavg_lønn7G&gt;Innstillinger!F16,Grlag_trygdeavg_lønn7G*Trygdeavgsats_lønn7G,0),0)</f>
        <v>56405.282599999999</v>
      </c>
    </row>
    <row r="27" spans="3:7" x14ac:dyDescent="0.25">
      <c r="C27" s="15" t="s">
        <v>27</v>
      </c>
      <c r="D27" s="1" t="s">
        <v>12</v>
      </c>
      <c r="E27" s="3">
        <f>IFERROR(IF(Lønn7G&gt;=Ngrense_trinn_2,Ngrense_trinn_2-Ngrense_trinn_1,MAX(Lønn7G-Ngrense_trinn_1,0)),0)</f>
        <v>71150</v>
      </c>
      <c r="F27" s="5">
        <f>Trinn_1</f>
        <v>1.9E-2</v>
      </c>
      <c r="G27" s="3">
        <f>Trinn_1_lønn7G*Trinn_1_sats_lønn7G</f>
        <v>1351.85</v>
      </c>
    </row>
    <row r="28" spans="3:7" x14ac:dyDescent="0.25">
      <c r="C28" s="15" t="s">
        <v>27</v>
      </c>
      <c r="D28" s="1" t="s">
        <v>13</v>
      </c>
      <c r="E28" s="3">
        <f>IFERROR(IF(Lønn7G&gt;=Ngrense_trinn_3,Ngrense_trinn_3-Ngrense_trinn_2,MAX(Lønn7G-Ngrense_trinn_2,0)),0)</f>
        <v>371850</v>
      </c>
      <c r="F28" s="5">
        <f>Trinn_2</f>
        <v>4.2000000000000003E-2</v>
      </c>
      <c r="G28" s="3">
        <f>Trinn_2_lønn7G*Trinn_2_sats_lønn7G</f>
        <v>15617.7</v>
      </c>
    </row>
    <row r="29" spans="3:7" x14ac:dyDescent="0.25">
      <c r="C29" s="15" t="s">
        <v>27</v>
      </c>
      <c r="D29" s="1" t="s">
        <v>14</v>
      </c>
      <c r="E29" s="3">
        <f>IFERROR(IF(Lønn7G&gt;=Ngrense_trinn_4,Ngrense_trinn_4-Ngrense_trinn_3,MAX(Lønn7G-Ngrense_trinn_3,0)),0)</f>
        <v>70369.29999999993</v>
      </c>
      <c r="F29" s="5">
        <f>Trinn_3</f>
        <v>0.13200000000000001</v>
      </c>
      <c r="G29" s="3">
        <f>Trinn_3_lønn7G*Trinn_3_sats_lønn7G</f>
        <v>9288.7475999999915</v>
      </c>
    </row>
    <row r="30" spans="3:7" x14ac:dyDescent="0.25">
      <c r="C30" s="22" t="s">
        <v>27</v>
      </c>
      <c r="D30" s="21" t="s">
        <v>15</v>
      </c>
      <c r="E30" s="23">
        <f>IFERROR(IF(Lønn7G&gt;Ngrense_trinn_4,Lønn7G-Ngrense_trinn_4,0),0)</f>
        <v>0</v>
      </c>
      <c r="F30" s="24">
        <f>Trinn_4</f>
        <v>0.16200000000000001</v>
      </c>
      <c r="G30" s="23">
        <f>Trinn_4_lønn7G*Trinn_4_sats_lønn7G</f>
        <v>0</v>
      </c>
    </row>
    <row r="31" spans="3:7" x14ac:dyDescent="0.25">
      <c r="C31" s="15" t="s">
        <v>26</v>
      </c>
      <c r="D31" s="1" t="s">
        <v>35</v>
      </c>
      <c r="E31" s="3"/>
      <c r="F31" s="8"/>
      <c r="G31" s="3">
        <f>SUM(G25:G30)</f>
        <v>199377.82620000001</v>
      </c>
    </row>
    <row r="32" spans="3:7" x14ac:dyDescent="0.25">
      <c r="E32" s="3"/>
      <c r="F32" s="8"/>
      <c r="G32" s="3"/>
    </row>
    <row r="33" spans="3:7" x14ac:dyDescent="0.25">
      <c r="D33" s="1" t="s">
        <v>21</v>
      </c>
      <c r="G33" s="3">
        <f>Net_utbytte_lønn7G</f>
        <v>64458.06855008108</v>
      </c>
    </row>
    <row r="34" spans="3:7" x14ac:dyDescent="0.25">
      <c r="C34" s="35" t="s">
        <v>27</v>
      </c>
      <c r="D34" s="25" t="s">
        <v>22</v>
      </c>
      <c r="E34" s="38"/>
      <c r="F34" s="25"/>
      <c r="G34" s="19">
        <f>Lønn7G-Sum_skatt_lønn7G</f>
        <v>488491.47379999992</v>
      </c>
    </row>
    <row r="35" spans="3:7" x14ac:dyDescent="0.25">
      <c r="C35" s="36" t="s">
        <v>26</v>
      </c>
      <c r="D35" s="32" t="s">
        <v>17</v>
      </c>
      <c r="E35" s="39"/>
      <c r="F35" s="32"/>
      <c r="G35" s="33">
        <f>SUM(G33:G34)</f>
        <v>552949.54235008103</v>
      </c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8"/>
  <sheetViews>
    <sheetView showGridLines="0" zoomScale="130" zoomScaleNormal="130" zoomScalePageLayoutView="130" workbookViewId="0">
      <selection activeCell="I13" sqref="I13"/>
    </sheetView>
  </sheetViews>
  <sheetFormatPr baseColWidth="10" defaultRowHeight="17" x14ac:dyDescent="0.25"/>
  <cols>
    <col min="1" max="2" width="10.83203125" style="1"/>
    <col min="3" max="3" width="2.83203125" style="1" bestFit="1" customWidth="1"/>
    <col min="4" max="4" width="20.83203125" style="1" bestFit="1" customWidth="1"/>
    <col min="5" max="7" width="11.5" style="1" bestFit="1" customWidth="1"/>
    <col min="8" max="8" width="22.5" style="1" customWidth="1"/>
    <col min="9" max="9" width="22.83203125" style="1" customWidth="1"/>
    <col min="10" max="16384" width="10.83203125" style="1"/>
  </cols>
  <sheetData>
    <row r="3" spans="3:9" ht="17" customHeight="1" x14ac:dyDescent="0.25"/>
    <row r="4" spans="3:9" ht="51" x14ac:dyDescent="0.25">
      <c r="C4" s="60"/>
      <c r="D4" s="58" t="s">
        <v>36</v>
      </c>
      <c r="E4" s="62" t="s">
        <v>1</v>
      </c>
      <c r="F4" s="62" t="s">
        <v>19</v>
      </c>
      <c r="G4" s="62" t="s">
        <v>28</v>
      </c>
      <c r="H4" s="66" t="s">
        <v>34</v>
      </c>
      <c r="I4" s="66" t="s">
        <v>57</v>
      </c>
    </row>
    <row r="5" spans="3:9" x14ac:dyDescent="0.25">
      <c r="D5" s="25" t="s">
        <v>0</v>
      </c>
      <c r="E5" s="27">
        <f>'Kun lønn'!E6</f>
        <v>782521.59759609366</v>
      </c>
      <c r="F5" s="27">
        <v>0</v>
      </c>
      <c r="G5" s="27">
        <f>'Kun lønn'!G27</f>
        <v>542064.67423938902</v>
      </c>
      <c r="H5" s="27">
        <f>'Kun lønn'!E8+'Kun lønn'!E10+'Kun lønn'!G25</f>
        <v>364032.73404907977</v>
      </c>
      <c r="I5" s="20">
        <f>H5/Resultat_før_lønnskostnader__skatt_og_utbytte</f>
        <v>0.36403273404907976</v>
      </c>
    </row>
    <row r="6" spans="3:9" x14ac:dyDescent="0.25">
      <c r="C6" s="26"/>
      <c r="D6" s="25" t="s">
        <v>18</v>
      </c>
      <c r="E6" s="27">
        <v>0</v>
      </c>
      <c r="F6" s="27">
        <f>'Kun utbytte'!E10</f>
        <v>780000</v>
      </c>
      <c r="G6" s="27">
        <f>'Kun utbytte'!E12</f>
        <v>532896</v>
      </c>
      <c r="H6" s="27">
        <f>'Kun utbytte'!E6+'Kun utbytte'!E11</f>
        <v>467104</v>
      </c>
      <c r="I6" s="20">
        <f>H6/Resultat_før_lønnskostnader__skatt_og_utbytte</f>
        <v>0.46710400000000002</v>
      </c>
    </row>
    <row r="7" spans="3:9" x14ac:dyDescent="0.25">
      <c r="C7" s="26"/>
      <c r="D7" s="25" t="s">
        <v>29</v>
      </c>
      <c r="E7" s="27">
        <f>'Lønn 6 G og utbytte'!E6</f>
        <v>581298</v>
      </c>
      <c r="F7" s="27">
        <f>'Lønn 6 G og utbytte'!E14</f>
        <v>200575.17467519999</v>
      </c>
      <c r="G7" s="27">
        <f>'Lønn 6 G og utbytte'!G35</f>
        <v>561946.89733809663</v>
      </c>
      <c r="H7" s="27">
        <f>'Lønn 6 G og utbytte'!E8+'Lønn 6 G og utbytte'!E10+'Lønn 6 G og utbytte'!E15+'Lønn 6 G og utbytte'!G25+'Lønn 6 G og utbytte'!G26+'Lønn 6 G og utbytte'!G27+'Lønn 6 G og utbytte'!G28</f>
        <v>368297.34266190336</v>
      </c>
      <c r="I7" s="20">
        <f>H7/Resultat_før_lønnskostnader__skatt_og_utbytte</f>
        <v>0.36829734266190334</v>
      </c>
    </row>
    <row r="8" spans="3:9" x14ac:dyDescent="0.25">
      <c r="C8" s="29"/>
      <c r="D8" s="10" t="s">
        <v>30</v>
      </c>
      <c r="E8" s="40">
        <f>'Lønn 7,1 G og utbytte'!E6</f>
        <v>687869.29999999993</v>
      </c>
      <c r="F8" s="40">
        <f>'Lønn 7,1 G og utbytte'!E14</f>
        <v>94347.290032320074</v>
      </c>
      <c r="G8" s="40">
        <f>'Lønn 7,1 G og utbytte'!G35</f>
        <v>552949.54235008103</v>
      </c>
      <c r="H8" s="40">
        <f>'Lønn 7,1 G og utbytte'!E8+'Lønn 7,1 G og utbytte'!E10+'Lønn 7,1 G og utbytte'!E15+'Lønn 7,1 G og utbytte'!G25+'Lønn 7,1 G og utbytte'!G26+'Lønn 7,1 G og utbytte'!G27+'Lønn 7,1 G og utbytte'!G28+'Lønn 7,1 G og utbytte'!G29</f>
        <v>364506.14164991898</v>
      </c>
      <c r="I8" s="13">
        <f>H8/Resultat_før_lønnskostnader__skatt_og_utbytte</f>
        <v>0.36450614164991896</v>
      </c>
    </row>
  </sheetData>
  <sortState ref="D5:H8">
    <sortCondition ref="D4"/>
  </sortState>
  <phoneticPr fontId="8" type="noConversion"/>
  <conditionalFormatting sqref="G5:G8">
    <cfRule type="top10" dxfId="1" priority="1" bottom="1" rank="1"/>
    <cfRule type="top10" dxfId="0" priority="2" rank="1"/>
  </conditionalFormatting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Innstillinger</vt:lpstr>
      <vt:lpstr>Data</vt:lpstr>
      <vt:lpstr>Kun lønn</vt:lpstr>
      <vt:lpstr>Kun utbytte</vt:lpstr>
      <vt:lpstr>Lønn 6 G og utbytte</vt:lpstr>
      <vt:lpstr>Lønn 7,1 G og utbytte</vt:lpstr>
      <vt:lpstr>Oppsummering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2017-03-24T14:03:13Z</dcterms:created>
  <dcterms:modified xsi:type="dcterms:W3CDTF">2019-01-11T08:48:14Z</dcterms:modified>
</cp:coreProperties>
</file>